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filterPrivacy="1" codeName="DieseArbeitsmappe"/>
  <xr:revisionPtr revIDLastSave="93" documentId="8_{EF71D795-5069-4C6C-89A1-9C7D4EAB8629}" xr6:coauthVersionLast="47" xr6:coauthVersionMax="47" xr10:uidLastSave="{F6AE019F-E489-4B3D-995C-CFEEF2F203AA}"/>
  <bookViews>
    <workbookView xWindow="-120" yWindow="-120" windowWidth="29040" windowHeight="15720" xr2:uid="{00000000-000D-0000-FFFF-FFFF00000000}"/>
  </bookViews>
  <sheets>
    <sheet name="Allg.toleranzen DIN ISO 2768" sheetId="3" r:id="rId1"/>
    <sheet name="Tabelle Passungen (Rafau)" sheetId="1" state="hidden" r:id="rId2"/>
    <sheet name="Grundtoleranzen" sheetId="2" state="hidden" r:id="rId3"/>
    <sheet name="Berechnungstabelle" sheetId="4" state="hidden" r:id="rId4"/>
  </sheets>
  <definedNames>
    <definedName name="D">Berechnungstabelle!$B$77:$B$91</definedName>
    <definedName name="E">Berechnungstabelle!$C$74:$C$91</definedName>
    <definedName name="J">Berechnungstabelle!#REF!</definedName>
    <definedName name="JS">Berechnungstabelle!$G$74:$G$91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5" i="4" l="1"/>
  <c r="B98" i="4"/>
  <c r="B97" i="4"/>
  <c r="D100" i="4" s="1"/>
  <c r="D98" i="4" l="1"/>
  <c r="D95" i="4"/>
  <c r="D97" i="4"/>
  <c r="D96" i="4"/>
  <c r="P97" i="4"/>
  <c r="N95" i="4"/>
  <c r="L97" i="4"/>
  <c r="P96" i="4"/>
  <c r="N96" i="4"/>
  <c r="P95" i="4"/>
  <c r="N97" i="4"/>
  <c r="L96" i="4"/>
  <c r="L95" i="4"/>
  <c r="B16" i="3"/>
  <c r="D108" i="4"/>
  <c r="F108" i="4" s="1"/>
  <c r="H29" i="3" s="1"/>
  <c r="Q97" i="4"/>
  <c r="Q96" i="4"/>
  <c r="Q95" i="4"/>
  <c r="H98" i="4"/>
  <c r="H96" i="4" l="1"/>
  <c r="H97" i="4"/>
  <c r="F96" i="4"/>
  <c r="F97" i="4"/>
  <c r="F98" i="4"/>
  <c r="F95" i="4"/>
  <c r="H95" i="4"/>
  <c r="D104" i="4" l="1"/>
  <c r="F104" i="4" s="1"/>
  <c r="H22" i="3" s="1"/>
  <c r="D105" i="4"/>
  <c r="F105" i="4" s="1"/>
  <c r="D26" i="3" s="1"/>
  <c r="D106" i="4"/>
  <c r="F106" i="4" s="1"/>
  <c r="H26" i="3" s="1"/>
  <c r="D107" i="4"/>
  <c r="F107" i="4" s="1"/>
  <c r="D29" i="3" s="1"/>
  <c r="D102" i="4"/>
  <c r="G102" i="4" s="1"/>
  <c r="D20" i="3" s="1"/>
  <c r="D103" i="4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Q7" i="2"/>
  <c r="Q6" i="2"/>
  <c r="R25" i="2"/>
  <c r="R26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R7" i="2"/>
  <c r="R6" i="2"/>
  <c r="S23" i="2"/>
  <c r="S22" i="2"/>
  <c r="S21" i="2"/>
  <c r="S20" i="2"/>
  <c r="S19" i="2"/>
  <c r="S18" i="2"/>
  <c r="S17" i="2"/>
  <c r="S16" i="2"/>
  <c r="S15" i="2"/>
  <c r="S14" i="2"/>
  <c r="S10" i="2"/>
  <c r="S13" i="2"/>
  <c r="S12" i="2"/>
  <c r="S11" i="2"/>
  <c r="S9" i="2"/>
  <c r="S8" i="2"/>
  <c r="S7" i="2"/>
  <c r="S6" i="2"/>
  <c r="S24" i="2"/>
  <c r="S25" i="2"/>
  <c r="S26" i="2"/>
  <c r="O6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7" i="2"/>
  <c r="N6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N10" i="2"/>
  <c r="N9" i="2"/>
  <c r="N8" i="2"/>
  <c r="F102" i="4" l="1"/>
  <c r="D19" i="3" s="1"/>
  <c r="I102" i="4"/>
  <c r="F22" i="3" s="1"/>
  <c r="F103" i="4"/>
  <c r="H19" i="3" s="1"/>
  <c r="H102" i="4"/>
  <c r="F21" i="3" s="1"/>
  <c r="F11" i="4" l="1"/>
  <c r="F12" i="4"/>
  <c r="F8" i="4"/>
  <c r="E4" i="4"/>
  <c r="F7" i="4"/>
  <c r="Q5" i="4" l="1"/>
  <c r="T6" i="4"/>
  <c r="T22" i="4"/>
  <c r="T25" i="4"/>
  <c r="T26" i="4"/>
  <c r="T12" i="4"/>
  <c r="T13" i="4"/>
  <c r="T5" i="4"/>
  <c r="T19" i="4"/>
  <c r="T7" i="4"/>
  <c r="T23" i="4"/>
  <c r="T16" i="4"/>
  <c r="T18" i="4"/>
  <c r="T8" i="4"/>
  <c r="T24" i="4"/>
  <c r="T27" i="4"/>
  <c r="T28" i="4"/>
  <c r="T29" i="4"/>
  <c r="T14" i="4"/>
  <c r="T20" i="4"/>
  <c r="T9" i="4"/>
  <c r="T15" i="4"/>
  <c r="T21" i="4"/>
  <c r="T10" i="4"/>
  <c r="T17" i="4"/>
  <c r="T11" i="4"/>
  <c r="Q6" i="4"/>
  <c r="Q22" i="4"/>
  <c r="Q28" i="4"/>
  <c r="Q13" i="4"/>
  <c r="Q29" i="4"/>
  <c r="Q7" i="4"/>
  <c r="Q23" i="4"/>
  <c r="Q12" i="4"/>
  <c r="Q14" i="4"/>
  <c r="Q8" i="4"/>
  <c r="Q24" i="4"/>
  <c r="Q15" i="4"/>
  <c r="Q9" i="4"/>
  <c r="Q25" i="4"/>
  <c r="Q18" i="4"/>
  <c r="Q20" i="4"/>
  <c r="Q10" i="4"/>
  <c r="Q26" i="4"/>
  <c r="Q16" i="4"/>
  <c r="Q19" i="4"/>
  <c r="Q21" i="4"/>
  <c r="Q11" i="4"/>
  <c r="Q27" i="4"/>
  <c r="Q17" i="4"/>
  <c r="U6" i="4"/>
  <c r="U22" i="4"/>
  <c r="U9" i="4"/>
  <c r="U10" i="4"/>
  <c r="U11" i="4"/>
  <c r="U12" i="4"/>
  <c r="U13" i="4"/>
  <c r="U5" i="4"/>
  <c r="U16" i="4"/>
  <c r="U18" i="4"/>
  <c r="U7" i="4"/>
  <c r="U23" i="4"/>
  <c r="U24" i="4"/>
  <c r="U25" i="4"/>
  <c r="U26" i="4"/>
  <c r="U27" i="4"/>
  <c r="U28" i="4"/>
  <c r="U29" i="4"/>
  <c r="U14" i="4"/>
  <c r="U17" i="4"/>
  <c r="U19" i="4"/>
  <c r="U8" i="4"/>
  <c r="U15" i="4"/>
  <c r="U20" i="4"/>
  <c r="U21" i="4"/>
  <c r="AC6" i="4"/>
  <c r="AC22" i="4"/>
  <c r="AC26" i="4"/>
  <c r="AC12" i="4"/>
  <c r="AC14" i="4"/>
  <c r="AC18" i="4"/>
  <c r="AC7" i="4"/>
  <c r="AC23" i="4"/>
  <c r="AC10" i="4"/>
  <c r="AC27" i="4"/>
  <c r="AC13" i="4"/>
  <c r="AC5" i="4"/>
  <c r="AC17" i="4"/>
  <c r="AC19" i="4"/>
  <c r="AC21" i="4"/>
  <c r="AC8" i="4"/>
  <c r="AC24" i="4"/>
  <c r="AC25" i="4"/>
  <c r="AC28" i="4"/>
  <c r="AC29" i="4"/>
  <c r="AC15" i="4"/>
  <c r="AC20" i="4"/>
  <c r="AC9" i="4"/>
  <c r="AC16" i="4"/>
  <c r="AC11" i="4"/>
  <c r="AB6" i="4"/>
  <c r="AB22" i="4"/>
  <c r="AB25" i="4"/>
  <c r="AB26" i="4"/>
  <c r="AB11" i="4"/>
  <c r="AB27" i="4"/>
  <c r="AB28" i="4"/>
  <c r="AB13" i="4"/>
  <c r="AB29" i="4"/>
  <c r="AB5" i="4"/>
  <c r="AB17" i="4"/>
  <c r="AB19" i="4"/>
  <c r="AB7" i="4"/>
  <c r="AB23" i="4"/>
  <c r="AB24" i="4"/>
  <c r="AB10" i="4"/>
  <c r="AB12" i="4"/>
  <c r="AB14" i="4"/>
  <c r="AB16" i="4"/>
  <c r="AB18" i="4"/>
  <c r="AB21" i="4"/>
  <c r="AB8" i="4"/>
  <c r="AB15" i="4"/>
  <c r="AB20" i="4"/>
  <c r="AB9" i="4"/>
  <c r="AA6" i="4"/>
  <c r="AA22" i="4"/>
  <c r="Z13" i="4"/>
  <c r="Z29" i="4"/>
  <c r="AA11" i="4"/>
  <c r="Z18" i="4"/>
  <c r="AA13" i="4"/>
  <c r="Z22" i="4"/>
  <c r="Z8" i="4"/>
  <c r="Z10" i="4"/>
  <c r="AA21" i="4"/>
  <c r="AA7" i="4"/>
  <c r="AA23" i="4"/>
  <c r="Z14" i="4"/>
  <c r="Z16" i="4"/>
  <c r="AA12" i="4"/>
  <c r="AA14" i="4"/>
  <c r="Z23" i="4"/>
  <c r="AA18" i="4"/>
  <c r="Z12" i="4"/>
  <c r="AA8" i="4"/>
  <c r="AA24" i="4"/>
  <c r="Z15" i="4"/>
  <c r="AA25" i="4"/>
  <c r="Z19" i="4"/>
  <c r="Z21" i="4"/>
  <c r="Z7" i="4"/>
  <c r="Z9" i="4"/>
  <c r="Z26" i="4"/>
  <c r="AA9" i="4"/>
  <c r="AA28" i="4"/>
  <c r="Z20" i="4"/>
  <c r="AA16" i="4"/>
  <c r="Z25" i="4"/>
  <c r="AA20" i="4"/>
  <c r="AA10" i="4"/>
  <c r="AA26" i="4"/>
  <c r="Z17" i="4"/>
  <c r="AA27" i="4"/>
  <c r="AA29" i="4"/>
  <c r="Z6" i="4"/>
  <c r="Z24" i="4"/>
  <c r="AA19" i="4"/>
  <c r="Z28" i="4"/>
  <c r="AA5" i="4"/>
  <c r="Z27" i="4"/>
  <c r="AA15" i="4"/>
  <c r="Z11" i="4"/>
  <c r="AA17" i="4"/>
  <c r="Z5" i="4"/>
  <c r="Y8" i="4"/>
  <c r="Y24" i="4"/>
  <c r="Y25" i="4"/>
  <c r="Y6" i="4"/>
  <c r="Y7" i="4"/>
  <c r="Y21" i="4"/>
  <c r="Y9" i="4"/>
  <c r="Y10" i="4"/>
  <c r="Y26" i="4"/>
  <c r="Y27" i="4"/>
  <c r="Y18" i="4"/>
  <c r="Y11" i="4"/>
  <c r="Y20" i="4"/>
  <c r="Y12" i="4"/>
  <c r="Y28" i="4"/>
  <c r="Y19" i="4"/>
  <c r="Y13" i="4"/>
  <c r="Y29" i="4"/>
  <c r="Y5" i="4"/>
  <c r="Y22" i="4"/>
  <c r="Y14" i="4"/>
  <c r="Y23" i="4"/>
  <c r="Y15" i="4"/>
  <c r="Y16" i="4"/>
  <c r="Y17" i="4"/>
  <c r="X15" i="4"/>
  <c r="X7" i="4"/>
  <c r="X8" i="4"/>
  <c r="X14" i="4"/>
  <c r="X24" i="4"/>
  <c r="X16" i="4"/>
  <c r="X5" i="4"/>
  <c r="X17" i="4"/>
  <c r="X9" i="4"/>
  <c r="X13" i="4"/>
  <c r="X23" i="4"/>
  <c r="X18" i="4"/>
  <c r="X10" i="4"/>
  <c r="X27" i="4"/>
  <c r="X19" i="4"/>
  <c r="X11" i="4"/>
  <c r="X25" i="4"/>
  <c r="X6" i="4"/>
  <c r="X20" i="4"/>
  <c r="X12" i="4"/>
  <c r="X26" i="4"/>
  <c r="X28" i="4"/>
  <c r="X21" i="4"/>
  <c r="X29" i="4"/>
  <c r="X22" i="4"/>
  <c r="W6" i="4"/>
  <c r="W22" i="4"/>
  <c r="W23" i="4"/>
  <c r="W24" i="4"/>
  <c r="W19" i="4"/>
  <c r="W7" i="4"/>
  <c r="W8" i="4"/>
  <c r="W9" i="4"/>
  <c r="W25" i="4"/>
  <c r="W28" i="4"/>
  <c r="W16" i="4"/>
  <c r="W20" i="4"/>
  <c r="W10" i="4"/>
  <c r="W26" i="4"/>
  <c r="W27" i="4"/>
  <c r="W29" i="4"/>
  <c r="W17" i="4"/>
  <c r="W11" i="4"/>
  <c r="W12" i="4"/>
  <c r="W5" i="4"/>
  <c r="W18" i="4"/>
  <c r="W21" i="4"/>
  <c r="W13" i="4"/>
  <c r="W14" i="4"/>
  <c r="W15" i="4"/>
  <c r="V6" i="4"/>
  <c r="V22" i="4"/>
  <c r="V19" i="4"/>
  <c r="V7" i="4"/>
  <c r="V23" i="4"/>
  <c r="V17" i="4"/>
  <c r="V8" i="4"/>
  <c r="V24" i="4"/>
  <c r="V15" i="4"/>
  <c r="V9" i="4"/>
  <c r="V25" i="4"/>
  <c r="V18" i="4"/>
  <c r="V10" i="4"/>
  <c r="V26" i="4"/>
  <c r="V16" i="4"/>
  <c r="V11" i="4"/>
  <c r="V27" i="4"/>
  <c r="V5" i="4"/>
  <c r="V20" i="4"/>
  <c r="V12" i="4"/>
  <c r="V28" i="4"/>
  <c r="V29" i="4"/>
  <c r="V13" i="4"/>
  <c r="V14" i="4"/>
  <c r="V21" i="4"/>
  <c r="S6" i="4"/>
  <c r="S22" i="4"/>
  <c r="S23" i="4"/>
  <c r="S27" i="4"/>
  <c r="S28" i="4"/>
  <c r="S5" i="4"/>
  <c r="S16" i="4"/>
  <c r="S7" i="4"/>
  <c r="S20" i="4"/>
  <c r="S8" i="4"/>
  <c r="S24" i="4"/>
  <c r="S25" i="4"/>
  <c r="S26" i="4"/>
  <c r="S29" i="4"/>
  <c r="S15" i="4"/>
  <c r="S9" i="4"/>
  <c r="S17" i="4"/>
  <c r="S10" i="4"/>
  <c r="S21" i="4"/>
  <c r="S11" i="4"/>
  <c r="S18" i="4"/>
  <c r="S12" i="4"/>
  <c r="S13" i="4"/>
  <c r="S19" i="4"/>
  <c r="S14" i="4"/>
  <c r="R6" i="4"/>
  <c r="R22" i="4"/>
  <c r="R25" i="4"/>
  <c r="R27" i="4"/>
  <c r="R13" i="4"/>
  <c r="R14" i="4"/>
  <c r="R17" i="4"/>
  <c r="R20" i="4"/>
  <c r="R7" i="4"/>
  <c r="R23" i="4"/>
  <c r="R24" i="4"/>
  <c r="R26" i="4"/>
  <c r="R28" i="4"/>
  <c r="R29" i="4"/>
  <c r="R15" i="4"/>
  <c r="R16" i="4"/>
  <c r="R18" i="4"/>
  <c r="R8" i="4"/>
  <c r="R21" i="4"/>
  <c r="R9" i="4"/>
  <c r="R10" i="4"/>
  <c r="R11" i="4"/>
  <c r="R12" i="4"/>
  <c r="R5" i="4"/>
  <c r="R19" i="4"/>
  <c r="Q52" i="4"/>
  <c r="R52" i="4"/>
  <c r="R69" i="4"/>
  <c r="R54" i="4"/>
  <c r="R70" i="4"/>
  <c r="R64" i="4"/>
  <c r="R55" i="4"/>
  <c r="R71" i="4"/>
  <c r="R56" i="4"/>
  <c r="R72" i="4"/>
  <c r="R76" i="4"/>
  <c r="R62" i="4"/>
  <c r="R57" i="4"/>
  <c r="R73" i="4"/>
  <c r="R75" i="4"/>
  <c r="R53" i="4"/>
  <c r="R66" i="4"/>
  <c r="R58" i="4"/>
  <c r="R74" i="4"/>
  <c r="R67" i="4"/>
  <c r="R59" i="4"/>
  <c r="R60" i="4"/>
  <c r="R65" i="4"/>
  <c r="R61" i="4"/>
  <c r="R63" i="4"/>
  <c r="R68" i="4"/>
  <c r="Q54" i="4"/>
  <c r="Q70" i="4"/>
  <c r="Q71" i="4"/>
  <c r="Q72" i="4"/>
  <c r="Q67" i="4"/>
  <c r="Q55" i="4"/>
  <c r="Q56" i="4"/>
  <c r="Q57" i="4"/>
  <c r="Q73" i="4"/>
  <c r="Q58" i="4"/>
  <c r="Q74" i="4"/>
  <c r="Q59" i="4"/>
  <c r="Q75" i="4"/>
  <c r="Q60" i="4"/>
  <c r="Q76" i="4"/>
  <c r="Q61" i="4"/>
  <c r="Q66" i="4"/>
  <c r="Q62" i="4"/>
  <c r="Q53" i="4"/>
  <c r="Q63" i="4"/>
  <c r="Q64" i="4"/>
  <c r="Q65" i="4"/>
  <c r="Q69" i="4"/>
  <c r="Q68" i="4"/>
  <c r="I66" i="4"/>
  <c r="P57" i="4"/>
  <c r="P73" i="4"/>
  <c r="P58" i="4"/>
  <c r="P74" i="4"/>
  <c r="P75" i="4"/>
  <c r="P54" i="4"/>
  <c r="P59" i="4"/>
  <c r="P70" i="4"/>
  <c r="P60" i="4"/>
  <c r="P76" i="4"/>
  <c r="P72" i="4"/>
  <c r="P61" i="4"/>
  <c r="P53" i="4"/>
  <c r="P56" i="4"/>
  <c r="P62" i="4"/>
  <c r="P63" i="4"/>
  <c r="P64" i="4"/>
  <c r="P65" i="4"/>
  <c r="P67" i="4"/>
  <c r="P66" i="4"/>
  <c r="P69" i="4"/>
  <c r="P68" i="4"/>
  <c r="P52" i="4"/>
  <c r="P55" i="4"/>
  <c r="P71" i="4"/>
  <c r="L52" i="4"/>
  <c r="N53" i="4"/>
  <c r="N69" i="4"/>
  <c r="N70" i="4"/>
  <c r="N71" i="4"/>
  <c r="N72" i="4"/>
  <c r="N57" i="4"/>
  <c r="N60" i="4"/>
  <c r="N62" i="4"/>
  <c r="N64" i="4"/>
  <c r="N66" i="4"/>
  <c r="N54" i="4"/>
  <c r="N56" i="4"/>
  <c r="N52" i="4"/>
  <c r="N58" i="4"/>
  <c r="N59" i="4"/>
  <c r="N61" i="4"/>
  <c r="N65" i="4"/>
  <c r="N68" i="4"/>
  <c r="N55" i="4"/>
  <c r="N67" i="4"/>
  <c r="N63" i="4"/>
  <c r="L54" i="4"/>
  <c r="I6" i="4"/>
  <c r="L24" i="4"/>
  <c r="N19" i="4"/>
  <c r="N16" i="4"/>
  <c r="N12" i="4"/>
  <c r="N11" i="4"/>
  <c r="N18" i="4"/>
  <c r="N14" i="4"/>
  <c r="N5" i="4"/>
  <c r="N10" i="4"/>
  <c r="N13" i="4"/>
  <c r="N25" i="4"/>
  <c r="N9" i="4"/>
  <c r="N24" i="4"/>
  <c r="N8" i="4"/>
  <c r="N21" i="4"/>
  <c r="N17" i="4"/>
  <c r="N15" i="4"/>
  <c r="N23" i="4"/>
  <c r="N7" i="4"/>
  <c r="N20" i="4"/>
  <c r="N22" i="4"/>
  <c r="N6" i="4"/>
  <c r="L69" i="4"/>
  <c r="L67" i="4"/>
  <c r="L64" i="4"/>
  <c r="L66" i="4"/>
  <c r="L68" i="4"/>
  <c r="L62" i="4"/>
  <c r="L57" i="4"/>
  <c r="L65" i="4"/>
  <c r="L63" i="4"/>
  <c r="L53" i="4"/>
  <c r="L61" i="4"/>
  <c r="L76" i="4"/>
  <c r="L60" i="4"/>
  <c r="L75" i="4"/>
  <c r="L59" i="4"/>
  <c r="L74" i="4"/>
  <c r="L58" i="4"/>
  <c r="L73" i="4"/>
  <c r="L72" i="4"/>
  <c r="L56" i="4"/>
  <c r="L71" i="4"/>
  <c r="L55" i="4"/>
  <c r="L70" i="4"/>
  <c r="P8" i="4"/>
  <c r="P22" i="4"/>
  <c r="P21" i="4"/>
  <c r="P6" i="4"/>
  <c r="P25" i="4"/>
  <c r="P24" i="4"/>
  <c r="P7" i="4"/>
  <c r="P28" i="4"/>
  <c r="P26" i="4"/>
  <c r="P17" i="4"/>
  <c r="P29" i="4"/>
  <c r="P9" i="4"/>
  <c r="P23" i="4"/>
  <c r="P20" i="4"/>
  <c r="P27" i="4"/>
  <c r="P19" i="4"/>
  <c r="P18" i="4"/>
  <c r="P16" i="4"/>
  <c r="P15" i="4"/>
  <c r="P14" i="4"/>
  <c r="P13" i="4"/>
  <c r="P12" i="4"/>
  <c r="P11" i="4"/>
  <c r="P5" i="4"/>
  <c r="P10" i="4"/>
  <c r="L14" i="4"/>
  <c r="L28" i="4"/>
  <c r="L23" i="4"/>
  <c r="L21" i="4"/>
  <c r="L16" i="4"/>
  <c r="L12" i="4"/>
  <c r="L29" i="4"/>
  <c r="L27" i="4"/>
  <c r="L22" i="4"/>
  <c r="L20" i="4"/>
  <c r="L15" i="4"/>
  <c r="L13" i="4"/>
  <c r="L9" i="4"/>
  <c r="L8" i="4"/>
  <c r="L10" i="4"/>
  <c r="L26" i="4"/>
  <c r="L25" i="4"/>
  <c r="L5" i="4"/>
  <c r="L7" i="4"/>
  <c r="L6" i="4"/>
  <c r="L11" i="4"/>
  <c r="L19" i="4"/>
  <c r="L18" i="4"/>
  <c r="L17" i="4"/>
  <c r="I62" i="4"/>
  <c r="I61" i="4"/>
  <c r="I60" i="4"/>
  <c r="I65" i="4"/>
  <c r="I64" i="4"/>
  <c r="I63" i="4"/>
  <c r="I59" i="4"/>
  <c r="I57" i="4"/>
  <c r="I51" i="4"/>
  <c r="I56" i="4"/>
  <c r="I55" i="4"/>
  <c r="I58" i="4"/>
  <c r="I70" i="4"/>
  <c r="I54" i="4"/>
  <c r="I53" i="4"/>
  <c r="I52" i="4"/>
  <c r="I71" i="4"/>
  <c r="I69" i="4"/>
  <c r="I68" i="4"/>
  <c r="I67" i="4"/>
  <c r="I9" i="4"/>
  <c r="I25" i="4"/>
  <c r="I8" i="4"/>
  <c r="I5" i="4"/>
  <c r="I24" i="4"/>
  <c r="I22" i="4"/>
  <c r="I21" i="4"/>
  <c r="I20" i="4"/>
  <c r="I19" i="4"/>
  <c r="I18" i="4"/>
  <c r="I17" i="4"/>
  <c r="I16" i="4"/>
  <c r="I15" i="4"/>
  <c r="I14" i="4"/>
  <c r="I11" i="4"/>
  <c r="I10" i="4"/>
  <c r="I13" i="4"/>
  <c r="I12" i="4"/>
  <c r="I23" i="4"/>
  <c r="I7" i="4"/>
  <c r="W31" i="4" l="1"/>
  <c r="R80" i="4"/>
  <c r="N80" i="4"/>
  <c r="L78" i="4"/>
  <c r="P80" i="4"/>
  <c r="Q80" i="4"/>
  <c r="F18" i="4"/>
  <c r="G37" i="4" s="1"/>
  <c r="R31" i="4"/>
  <c r="Z31" i="4"/>
  <c r="L33" i="4"/>
  <c r="V31" i="4"/>
  <c r="Y31" i="4"/>
  <c r="P31" i="4"/>
  <c r="Q31" i="4"/>
  <c r="S31" i="4"/>
  <c r="AB31" i="4"/>
  <c r="T31" i="4"/>
  <c r="AC31" i="4"/>
  <c r="X31" i="4"/>
  <c r="AA31" i="4"/>
  <c r="U31" i="4"/>
  <c r="N33" i="4"/>
  <c r="F15" i="4"/>
  <c r="S33" i="4" l="1"/>
  <c r="U33" i="4"/>
  <c r="L80" i="4"/>
  <c r="G34" i="4" s="1"/>
  <c r="G36" i="4" s="1"/>
  <c r="R78" i="4"/>
  <c r="N78" i="4"/>
  <c r="Q78" i="4"/>
  <c r="P78" i="4"/>
  <c r="G33" i="4" s="1"/>
  <c r="G35" i="4" s="1"/>
  <c r="Q33" i="4"/>
  <c r="Z33" i="4"/>
  <c r="R33" i="4"/>
  <c r="W33" i="4"/>
  <c r="AA33" i="4"/>
  <c r="Y33" i="4"/>
  <c r="X33" i="4"/>
  <c r="AC33" i="4"/>
  <c r="T33" i="4"/>
  <c r="P33" i="4"/>
  <c r="AB33" i="4"/>
  <c r="V33" i="4"/>
  <c r="L31" i="4"/>
  <c r="G32" i="4"/>
  <c r="N31" i="4"/>
  <c r="G29" i="4" l="1"/>
  <c r="G28" i="4"/>
  <c r="AD25" i="1"/>
  <c r="Z25" i="1"/>
  <c r="V25" i="1"/>
  <c r="R25" i="1"/>
  <c r="N25" i="1"/>
  <c r="J25" i="1"/>
  <c r="F25" i="1"/>
  <c r="G31" i="4" l="1"/>
  <c r="G30" i="4"/>
  <c r="AD24" i="1"/>
  <c r="Z24" i="1"/>
  <c r="V24" i="1"/>
  <c r="R24" i="1"/>
  <c r="N24" i="1"/>
  <c r="J24" i="1"/>
  <c r="F24" i="1"/>
  <c r="F18" i="1"/>
  <c r="J23" i="1"/>
  <c r="N23" i="1"/>
  <c r="R23" i="1"/>
  <c r="V23" i="1"/>
  <c r="Z23" i="1"/>
  <c r="AD23" i="1"/>
  <c r="F23" i="1"/>
  <c r="J21" i="1"/>
  <c r="N21" i="1"/>
  <c r="R21" i="1"/>
  <c r="V21" i="1"/>
  <c r="Z21" i="1"/>
  <c r="AD21" i="1"/>
  <c r="F21" i="1"/>
  <c r="J22" i="1"/>
  <c r="N22" i="1"/>
  <c r="R22" i="1"/>
  <c r="V22" i="1"/>
  <c r="Z22" i="1"/>
  <c r="AD22" i="1"/>
  <c r="F22" i="1"/>
  <c r="J18" i="1" l="1"/>
  <c r="N18" i="1"/>
  <c r="R18" i="1"/>
  <c r="V18" i="1"/>
  <c r="Z18" i="1"/>
  <c r="AD18" i="1"/>
  <c r="J13" i="1"/>
  <c r="N13" i="1"/>
  <c r="R13" i="1"/>
  <c r="V13" i="1"/>
  <c r="Z13" i="1"/>
  <c r="AD13" i="1"/>
  <c r="F13" i="1"/>
  <c r="F16" i="1" l="1"/>
  <c r="J12" i="1"/>
  <c r="N12" i="1"/>
  <c r="R12" i="1"/>
  <c r="V12" i="1"/>
  <c r="Z12" i="1"/>
  <c r="AD12" i="1"/>
  <c r="J17" i="1"/>
  <c r="N17" i="1"/>
  <c r="R17" i="1"/>
  <c r="V17" i="1"/>
  <c r="Z17" i="1"/>
  <c r="AD17" i="1"/>
  <c r="F17" i="1"/>
  <c r="N11" i="1"/>
  <c r="F11" i="1"/>
  <c r="F12" i="1"/>
  <c r="J16" i="1"/>
  <c r="V16" i="1"/>
  <c r="N16" i="1"/>
  <c r="AD16" i="1"/>
  <c r="R16" i="1"/>
  <c r="Z16" i="1"/>
  <c r="V11" i="1"/>
  <c r="AD11" i="1"/>
  <c r="Z11" i="1"/>
  <c r="R11" i="1"/>
  <c r="J11" i="1"/>
</calcChain>
</file>

<file path=xl/sharedStrings.xml><?xml version="1.0" encoding="utf-8"?>
<sst xmlns="http://schemas.openxmlformats.org/spreadsheetml/2006/main" count="631" uniqueCount="276">
  <si>
    <t>Passungsangabe</t>
  </si>
  <si>
    <t>Oberes Abmaß</t>
  </si>
  <si>
    <t>Unteres Abmaß</t>
  </si>
  <si>
    <t>Höchstmaß</t>
  </si>
  <si>
    <t>Mindestmaß</t>
  </si>
  <si>
    <t>Maßtoleranz</t>
  </si>
  <si>
    <t>Bohrung</t>
  </si>
  <si>
    <t>Welle (W)</t>
  </si>
  <si>
    <t>GuB</t>
  </si>
  <si>
    <t>GuW</t>
  </si>
  <si>
    <t>Tw</t>
  </si>
  <si>
    <t>H7</t>
  </si>
  <si>
    <t>n6</t>
  </si>
  <si>
    <t>f7</t>
  </si>
  <si>
    <t>/</t>
  </si>
  <si>
    <t>k6</t>
  </si>
  <si>
    <t>s6</t>
  </si>
  <si>
    <t>F8</t>
  </si>
  <si>
    <t>h9</t>
  </si>
  <si>
    <t>J7</t>
  </si>
  <si>
    <t>h6</t>
  </si>
  <si>
    <t>S8</t>
  </si>
  <si>
    <t>Eingabefeld</t>
  </si>
  <si>
    <t>Legende</t>
  </si>
  <si>
    <t>errechneter Wert</t>
  </si>
  <si>
    <t>http://www.pfeffer.ch/toleranzen.htm</t>
  </si>
  <si>
    <t>H8</t>
  </si>
  <si>
    <t>https://www.pv-gmbh.com/passungsrechner-toleranzen.html</t>
  </si>
  <si>
    <t>ISO-Passsystem</t>
  </si>
  <si>
    <t>EB</t>
  </si>
  <si>
    <t>Höchstspiel</t>
  </si>
  <si>
    <t>Passungsart</t>
  </si>
  <si>
    <r>
      <t>A</t>
    </r>
    <r>
      <rPr>
        <b/>
        <i/>
        <sz val="10"/>
        <color theme="1"/>
        <rFont val="Calibri"/>
        <family val="2"/>
        <scheme val="minor"/>
      </rPr>
      <t>oB</t>
    </r>
  </si>
  <si>
    <r>
      <t>A</t>
    </r>
    <r>
      <rPr>
        <b/>
        <i/>
        <sz val="10"/>
        <color theme="1"/>
        <rFont val="Calibri"/>
        <family val="2"/>
        <scheme val="minor"/>
      </rPr>
      <t>uB</t>
    </r>
  </si>
  <si>
    <r>
      <t>G</t>
    </r>
    <r>
      <rPr>
        <b/>
        <i/>
        <sz val="10"/>
        <color theme="1"/>
        <rFont val="Calibri"/>
        <family val="2"/>
        <scheme val="minor"/>
      </rPr>
      <t>oB</t>
    </r>
  </si>
  <si>
    <r>
      <t>T</t>
    </r>
    <r>
      <rPr>
        <b/>
        <i/>
        <sz val="10"/>
        <color theme="1"/>
        <rFont val="Calibri"/>
        <family val="2"/>
        <scheme val="minor"/>
      </rPr>
      <t>B</t>
    </r>
  </si>
  <si>
    <r>
      <t>A</t>
    </r>
    <r>
      <rPr>
        <b/>
        <i/>
        <sz val="10"/>
        <color theme="1"/>
        <rFont val="Calibri"/>
        <family val="2"/>
        <scheme val="minor"/>
      </rPr>
      <t>oW</t>
    </r>
  </si>
  <si>
    <r>
      <t>A</t>
    </r>
    <r>
      <rPr>
        <b/>
        <i/>
        <sz val="10"/>
        <color theme="1"/>
        <rFont val="Calibri"/>
        <family val="2"/>
        <scheme val="minor"/>
      </rPr>
      <t>uW</t>
    </r>
  </si>
  <si>
    <r>
      <t>G</t>
    </r>
    <r>
      <rPr>
        <b/>
        <i/>
        <sz val="10"/>
        <color theme="1"/>
        <rFont val="Calibri"/>
        <family val="2"/>
        <scheme val="minor"/>
      </rPr>
      <t>oW</t>
    </r>
  </si>
  <si>
    <t>Mindestspiel</t>
  </si>
  <si>
    <t>Höchstübermaß</t>
  </si>
  <si>
    <t>Mindestübermaß</t>
  </si>
  <si>
    <t>EW</t>
  </si>
  <si>
    <t>https://www.technisches-zeichnen.net/technisches-zeichnen/grundkurs-04/passungssystem.php</t>
  </si>
  <si>
    <r>
      <t xml:space="preserve">von </t>
    </r>
    <r>
      <rPr>
        <b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dofl bis </t>
    </r>
    <r>
      <rPr>
        <b/>
        <sz val="11"/>
        <color theme="1"/>
        <rFont val="Calibri"/>
        <family val="2"/>
        <scheme val="minor"/>
      </rPr>
      <t>H</t>
    </r>
    <r>
      <rPr>
        <sz val="11"/>
        <color theme="1"/>
        <rFont val="Calibri"/>
        <family val="2"/>
        <scheme val="minor"/>
      </rPr>
      <t xml:space="preserve">itler ist </t>
    </r>
    <r>
      <rPr>
        <b/>
        <sz val="11"/>
        <color theme="1"/>
        <rFont val="Calibri"/>
        <family val="2"/>
        <scheme val="minor"/>
      </rPr>
      <t>Spiel</t>
    </r>
    <r>
      <rPr>
        <sz val="11"/>
        <color theme="1"/>
        <rFont val="Calibri"/>
        <family val="2"/>
        <scheme val="minor"/>
      </rPr>
      <t>,</t>
    </r>
  </si>
  <si>
    <r>
      <t xml:space="preserve">von </t>
    </r>
    <r>
      <rPr>
        <b/>
        <sz val="11"/>
        <color theme="1"/>
        <rFont val="Calibri"/>
        <family val="2"/>
        <scheme val="minor"/>
      </rPr>
      <t>J</t>
    </r>
    <r>
      <rPr>
        <sz val="11"/>
        <color theme="1"/>
        <rFont val="Calibri"/>
        <family val="2"/>
        <scheme val="minor"/>
      </rPr>
      <t xml:space="preserve">esus bis </t>
    </r>
    <r>
      <rPr>
        <b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 xml:space="preserve">azaret ist </t>
    </r>
    <r>
      <rPr>
        <b/>
        <sz val="11"/>
        <color theme="1"/>
        <rFont val="Calibri"/>
        <family val="2"/>
        <scheme val="minor"/>
      </rPr>
      <t>Übergang</t>
    </r>
    <r>
      <rPr>
        <sz val="11"/>
        <color theme="1"/>
        <rFont val="Calibri"/>
        <family val="2"/>
        <scheme val="minor"/>
      </rPr>
      <t xml:space="preserve"> (weil Jesus übers Wasser ging),</t>
    </r>
  </si>
  <si>
    <r>
      <t xml:space="preserve">und der Rest is </t>
    </r>
    <r>
      <rPr>
        <b/>
        <sz val="11"/>
        <color theme="1"/>
        <rFont val="Calibri"/>
        <family val="2"/>
        <scheme val="minor"/>
      </rPr>
      <t>Übermaß</t>
    </r>
  </si>
  <si>
    <t>… 3</t>
  </si>
  <si>
    <t>IT1</t>
  </si>
  <si>
    <t>IT2</t>
  </si>
  <si>
    <t>IT3</t>
  </si>
  <si>
    <t>IT4</t>
  </si>
  <si>
    <t>IT5</t>
  </si>
  <si>
    <t>IT6</t>
  </si>
  <si>
    <t>IT7</t>
  </si>
  <si>
    <t>IT8</t>
  </si>
  <si>
    <t>IT9</t>
  </si>
  <si>
    <t>IT10</t>
  </si>
  <si>
    <t>IT11</t>
  </si>
  <si>
    <t>IT12</t>
  </si>
  <si>
    <t>IT13</t>
  </si>
  <si>
    <t>IT14</t>
  </si>
  <si>
    <t>IT15</t>
  </si>
  <si>
    <t>IT16</t>
  </si>
  <si>
    <t>IT17</t>
  </si>
  <si>
    <t>IT18</t>
  </si>
  <si>
    <t>Grundtoleranzgrade</t>
  </si>
  <si>
    <t>µm</t>
  </si>
  <si>
    <t>Grundtoleranzen</t>
  </si>
  <si>
    <t xml:space="preserve"> ... 3</t>
  </si>
  <si>
    <t>3 ... 6</t>
  </si>
  <si>
    <t>6 ... 10</t>
  </si>
  <si>
    <t>10 ... 18</t>
  </si>
  <si>
    <t>18 ... 30</t>
  </si>
  <si>
    <t>Nennmaßbereich über… bis  mm</t>
  </si>
  <si>
    <t>30 ... 50</t>
  </si>
  <si>
    <t>50 ... 80</t>
  </si>
  <si>
    <t>80 ... 120</t>
  </si>
  <si>
    <t>120 ... 180</t>
  </si>
  <si>
    <t>180 ... 250</t>
  </si>
  <si>
    <t>250 ... 315</t>
  </si>
  <si>
    <t>315 ... 400</t>
  </si>
  <si>
    <t>400 … 500</t>
  </si>
  <si>
    <t>500 ... 630</t>
  </si>
  <si>
    <t>630 … 800</t>
  </si>
  <si>
    <t>800 ... 1000</t>
  </si>
  <si>
    <t>1000 … 1250</t>
  </si>
  <si>
    <t>1250 … 1600</t>
  </si>
  <si>
    <t>1600 … 2000</t>
  </si>
  <si>
    <t>2000 … 2500</t>
  </si>
  <si>
    <t>2500 … 3150</t>
  </si>
  <si>
    <t>h</t>
  </si>
  <si>
    <t>js</t>
  </si>
  <si>
    <t>H</t>
  </si>
  <si>
    <t>JS</t>
  </si>
  <si>
    <t>n</t>
  </si>
  <si>
    <t>C</t>
  </si>
  <si>
    <t>D</t>
  </si>
  <si>
    <t>E</t>
  </si>
  <si>
    <t>F</t>
  </si>
  <si>
    <t>G</t>
  </si>
  <si>
    <t>J</t>
  </si>
  <si>
    <t>K</t>
  </si>
  <si>
    <t>M</t>
  </si>
  <si>
    <t>N</t>
  </si>
  <si>
    <t>P…ZC</t>
  </si>
  <si>
    <t>P</t>
  </si>
  <si>
    <t>R</t>
  </si>
  <si>
    <t>S</t>
  </si>
  <si>
    <t>T</t>
  </si>
  <si>
    <t>U</t>
  </si>
  <si>
    <t>X</t>
  </si>
  <si>
    <t>Z</t>
  </si>
  <si>
    <t>ZA</t>
  </si>
  <si>
    <t>ZB</t>
  </si>
  <si>
    <t>ZC</t>
  </si>
  <si>
    <t>Werte aus Tabelle zum berechnen</t>
  </si>
  <si>
    <t>Nenndurchmeser</t>
  </si>
  <si>
    <t>Toleranz</t>
  </si>
  <si>
    <t>AoB</t>
  </si>
  <si>
    <t xml:space="preserve"> IT = Grundtoleranzen</t>
  </si>
  <si>
    <t>AoW</t>
  </si>
  <si>
    <t>Welle</t>
  </si>
  <si>
    <t>unteres Abmaß EI</t>
  </si>
  <si>
    <t>Grundabmaße von Innenflächen</t>
  </si>
  <si>
    <t>alle Grundtoleranzgrade</t>
  </si>
  <si>
    <t>oberes Abmaß ES</t>
  </si>
  <si>
    <t>bis IT8</t>
  </si>
  <si>
    <t>bis IT7</t>
  </si>
  <si>
    <t>Grundtoleranzgrade über IT7</t>
  </si>
  <si>
    <t>10 ... 14</t>
  </si>
  <si>
    <t>14 ... 18</t>
  </si>
  <si>
    <t>18... 24</t>
  </si>
  <si>
    <t>24 ... 30</t>
  </si>
  <si>
    <t>30 ... 40</t>
  </si>
  <si>
    <t>40 ... 50</t>
  </si>
  <si>
    <t>65 ... 80</t>
  </si>
  <si>
    <t>50 ... 65</t>
  </si>
  <si>
    <t>80 ... 100</t>
  </si>
  <si>
    <t>100 ... 120</t>
  </si>
  <si>
    <t>120 ... 140</t>
  </si>
  <si>
    <t>140 ... 160</t>
  </si>
  <si>
    <t>160 ... 180</t>
  </si>
  <si>
    <t>180 ... 200</t>
  </si>
  <si>
    <t>200 ... 225</t>
  </si>
  <si>
    <t>225 ... 250</t>
  </si>
  <si>
    <t>250 … 280</t>
  </si>
  <si>
    <t>280... 315</t>
  </si>
  <si>
    <t>315 … 355</t>
  </si>
  <si>
    <t>355 ... 400</t>
  </si>
  <si>
    <t>400 … 450</t>
  </si>
  <si>
    <t>450 … 500</t>
  </si>
  <si>
    <t>Grundabmaße von Außenflächen</t>
  </si>
  <si>
    <t>unteres Abmaß es</t>
  </si>
  <si>
    <t>oberes Abmaß ei</t>
  </si>
  <si>
    <t>c</t>
  </si>
  <si>
    <t>d</t>
  </si>
  <si>
    <t>e</t>
  </si>
  <si>
    <t>f</t>
  </si>
  <si>
    <t>g</t>
  </si>
  <si>
    <t>j</t>
  </si>
  <si>
    <t>k</t>
  </si>
  <si>
    <t>m</t>
  </si>
  <si>
    <t>p</t>
  </si>
  <si>
    <t>r</t>
  </si>
  <si>
    <t>s</t>
  </si>
  <si>
    <t>t</t>
  </si>
  <si>
    <t>u</t>
  </si>
  <si>
    <t>x</t>
  </si>
  <si>
    <t>z</t>
  </si>
  <si>
    <t>za</t>
  </si>
  <si>
    <t>zb</t>
  </si>
  <si>
    <t>zc</t>
  </si>
  <si>
    <t>Auswahl Toleranzgrad</t>
  </si>
  <si>
    <t>Auswahl Grundabmaß</t>
  </si>
  <si>
    <t>IT5 und IT6</t>
  </si>
  <si>
    <t>IT4 bis IT7</t>
  </si>
  <si>
    <t>über IT7</t>
  </si>
  <si>
    <t>Abmaße = +/-(IT/2) mit IT nach TB 2-1</t>
  </si>
  <si>
    <t>δ in µm</t>
  </si>
  <si>
    <t>Werte wie für Grundtoleranzgrade über IT7, um δ erhöhen</t>
  </si>
  <si>
    <t>---</t>
  </si>
  <si>
    <t>Auswahl Toleranzklasse Bohrung</t>
  </si>
  <si>
    <t>Auswahl Toleranzklasse Welle</t>
  </si>
  <si>
    <t>Welle ?</t>
  </si>
  <si>
    <t>Toleranz Welle</t>
  </si>
  <si>
    <t>Toleranz Bohrung</t>
  </si>
  <si>
    <t>C-H</t>
  </si>
  <si>
    <t>Auswahl Toleranzklasse unteres Abmaß EI</t>
  </si>
  <si>
    <t>Auswahl Toleranzklasse oberes Abmaß ES</t>
  </si>
  <si>
    <t>AuB</t>
  </si>
  <si>
    <t>JS:</t>
  </si>
  <si>
    <t>C-H:</t>
  </si>
  <si>
    <t>Anzeigewerte für Tabelle Passungen</t>
  </si>
  <si>
    <t>Auswahl Toleranzklasse unteres Abmaß es</t>
  </si>
  <si>
    <t>c-h:</t>
  </si>
  <si>
    <t>js:</t>
  </si>
  <si>
    <t>AuW</t>
  </si>
  <si>
    <t>Auswahl Toleranzklasse oberes Abmaß ei</t>
  </si>
  <si>
    <t>m-zc</t>
  </si>
  <si>
    <t>Nennmaß</t>
  </si>
  <si>
    <t>EINGANGSPARAMETER</t>
  </si>
  <si>
    <t>(mm*1000) = µm</t>
  </si>
  <si>
    <t>Allgemein Toleranzen DIN ISO 2768</t>
  </si>
  <si>
    <t>Toleranzklasse</t>
  </si>
  <si>
    <t>Grenzabmaße für Längenmaße in mm</t>
  </si>
  <si>
    <t>über 3 bis 6</t>
  </si>
  <si>
    <t>von 0,5 bis 3</t>
  </si>
  <si>
    <t>über 6 bis 30</t>
  </si>
  <si>
    <t>über 30 bis 120</t>
  </si>
  <si>
    <t>über 120 bis 400</t>
  </si>
  <si>
    <t>über 400 bis 1000</t>
  </si>
  <si>
    <t>über 1000 bis 2000</t>
  </si>
  <si>
    <t>über 2000 bis 4000</t>
  </si>
  <si>
    <t>f (fein)</t>
  </si>
  <si>
    <t>c (grob)</t>
  </si>
  <si>
    <t>v (sehr grob)</t>
  </si>
  <si>
    <t>Grenzabmaße für gebrochene Kanten</t>
  </si>
  <si>
    <t>über 6</t>
  </si>
  <si>
    <t>Grenzabmaße für Winkelmaße</t>
  </si>
  <si>
    <t xml:space="preserve"> bis 10</t>
  </si>
  <si>
    <t>über 10 bis 50</t>
  </si>
  <si>
    <t>über 50 bis 120</t>
  </si>
  <si>
    <t>über 400</t>
  </si>
  <si>
    <t>1°</t>
  </si>
  <si>
    <t>2°</t>
  </si>
  <si>
    <t>1°30</t>
  </si>
  <si>
    <t>3°</t>
  </si>
  <si>
    <t>0°30</t>
  </si>
  <si>
    <t>0°20</t>
  </si>
  <si>
    <t>0°10</t>
  </si>
  <si>
    <t>0°5</t>
  </si>
  <si>
    <t>0°15</t>
  </si>
  <si>
    <t>L</t>
  </si>
  <si>
    <t>bis 10</t>
  </si>
  <si>
    <t>über 10 bis 30</t>
  </si>
  <si>
    <t>über 30 bis 100</t>
  </si>
  <si>
    <t>über 100 bis 300</t>
  </si>
  <si>
    <t>über 300 bis 1000</t>
  </si>
  <si>
    <t>über 1000 bis 3000</t>
  </si>
  <si>
    <t>Rechtwinkligkeit</t>
  </si>
  <si>
    <t>bis 100</t>
  </si>
  <si>
    <t>Lauf</t>
  </si>
  <si>
    <t>Symmetrie</t>
  </si>
  <si>
    <t>Nennmaßbereiche</t>
  </si>
  <si>
    <t>Nennmaßbereiche für den kürzeren Winkelschenkel</t>
  </si>
  <si>
    <t>Längenmaß</t>
  </si>
  <si>
    <t>Geradheit und Ebenheit</t>
  </si>
  <si>
    <t>Wert aus Menü</t>
  </si>
  <si>
    <t>Berechnung der Allgemein Toleranzen DIN ISO 2768</t>
  </si>
  <si>
    <t xml:space="preserve"> Längenmaß</t>
  </si>
  <si>
    <t>gebrochene Kanten</t>
  </si>
  <si>
    <t>Winkelmaße</t>
  </si>
  <si>
    <t>min. 0,5mm / max. 4000mm</t>
  </si>
  <si>
    <t>Toleranzklasse ISO 2678-1</t>
  </si>
  <si>
    <t>Toleranzklasse ISO 2678-2</t>
  </si>
  <si>
    <t>Längenmaß:</t>
  </si>
  <si>
    <t>Go</t>
  </si>
  <si>
    <t>Gu</t>
  </si>
  <si>
    <t>±</t>
  </si>
  <si>
    <t>m (mittel)</t>
  </si>
  <si>
    <t>Nennmaß max. 3000</t>
  </si>
  <si>
    <t>Nennmaß max. 4000</t>
  </si>
  <si>
    <t>gebrochene Kanten:</t>
  </si>
  <si>
    <t>Winkelmaße:</t>
  </si>
  <si>
    <t>DIN ISO 2678-1</t>
  </si>
  <si>
    <t>DIN ISO 2678-2</t>
  </si>
  <si>
    <t>Für Nennmaße unter 0,5mm sind die Grenzmaße direkt an dem entsprechenden Nennmaß anzugeben.</t>
  </si>
  <si>
    <t>Allgemeintoleranz nach ISO 2678-</t>
  </si>
  <si>
    <t>Ersteller: R. Piechota</t>
  </si>
  <si>
    <t>Allgemeintoleranzen DIN ISO 2768</t>
  </si>
  <si>
    <t>Für die Richtigkeit der Ergebnisse wird keine Gewähr übernommen. Alle Rechungen und Angaben sind durch eigene Nachrechnungen zu überprüfen.</t>
  </si>
  <si>
    <t>© Bernhard Fleischer - Lernwelten Konstruktion</t>
  </si>
  <si>
    <t>Hinweise zur Optimierung können eingereicht werden unter: info@roloff-matek.de</t>
  </si>
  <si>
    <r>
      <t>Höchstmaß [G</t>
    </r>
    <r>
      <rPr>
        <b/>
        <vertAlign val="subscript"/>
        <sz val="11"/>
        <color theme="1"/>
        <rFont val="Calibri"/>
        <family val="2"/>
        <scheme val="minor"/>
      </rPr>
      <t xml:space="preserve">o </t>
    </r>
    <r>
      <rPr>
        <b/>
        <i/>
        <sz val="11"/>
        <color theme="1"/>
        <rFont val="Calibri"/>
        <family val="2"/>
        <scheme val="minor"/>
      </rPr>
      <t>]</t>
    </r>
  </si>
  <si>
    <r>
      <t>Mindestmaß [G</t>
    </r>
    <r>
      <rPr>
        <b/>
        <vertAlign val="subscript"/>
        <sz val="11"/>
        <color theme="1"/>
        <rFont val="Calibri"/>
        <family val="2"/>
        <scheme val="minor"/>
      </rPr>
      <t xml:space="preserve">u </t>
    </r>
    <r>
      <rPr>
        <b/>
        <i/>
        <sz val="11"/>
        <color theme="1"/>
        <rFont val="Calibri"/>
        <family val="2"/>
        <scheme val="minor"/>
      </rPr>
      <t>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</si>
</sst>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* #,##0.00\ &quot;€&quot;_-;\-* #,##0.00\ &quot;€&quot;_-;_-* &quot;-&quot;??\ &quot;€&quot;_-;_-@_-"/>
    <numFmt numFmtId="164" formatCode="#,##0.000\ &quot;mm&quot;"/>
    <numFmt numFmtId="165" formatCode="#,##0\ &quot;µm&quot;"/>
    <numFmt numFmtId="166" formatCode="0\ &quot;µm&quot;"/>
    <numFmt numFmtId="167" formatCode="0\ &quot;mm&quot;"/>
    <numFmt numFmtId="168" formatCode="&quot;IT&quot;\ 0"/>
    <numFmt numFmtId="169" formatCode="\Ø\ 0"/>
    <numFmt numFmtId="170" formatCode="0.00\ &quot;µm&quot;"/>
    <numFmt numFmtId="171" formatCode="#,##0.0000\ &quot;mm&quot;"/>
    <numFmt numFmtId="172" formatCode="0.0\ &quot;+δ&quot;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i/>
      <u/>
      <sz val="11"/>
      <color theme="1"/>
      <name val="Calibri"/>
      <family val="2"/>
      <scheme val="minor"/>
    </font>
    <font>
      <b/>
      <sz val="24"/>
      <color rgb="FFE26F0E"/>
      <name val="Arial"/>
      <family val="2"/>
    </font>
    <font>
      <b/>
      <i/>
      <sz val="11"/>
      <name val="Calibri"/>
      <family val="2"/>
      <scheme val="minor"/>
    </font>
    <font>
      <sz val="11"/>
      <color theme="1"/>
      <name val="Aptos Narrow"/>
      <family val="2"/>
    </font>
    <font>
      <b/>
      <vertAlign val="subscript"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26F0E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74">
    <xf numFmtId="0" fontId="0" fillId="0" borderId="0" xfId="0"/>
    <xf numFmtId="0" fontId="2" fillId="0" borderId="0" xfId="0" applyFont="1"/>
    <xf numFmtId="0" fontId="2" fillId="4" borderId="1" xfId="0" applyFont="1" applyFill="1" applyBorder="1"/>
    <xf numFmtId="0" fontId="2" fillId="0" borderId="25" xfId="0" applyFont="1" applyBorder="1"/>
    <xf numFmtId="0" fontId="2" fillId="0" borderId="28" xfId="0" applyFont="1" applyBorder="1"/>
    <xf numFmtId="0" fontId="2" fillId="3" borderId="1" xfId="0" applyFont="1" applyFill="1" applyBorder="1"/>
    <xf numFmtId="0" fontId="4" fillId="5" borderId="25" xfId="0" applyFont="1" applyFill="1" applyBorder="1"/>
    <xf numFmtId="0" fontId="5" fillId="3" borderId="11" xfId="0" applyFont="1" applyFill="1" applyBorder="1"/>
    <xf numFmtId="0" fontId="5" fillId="3" borderId="7" xfId="0" applyFont="1" applyFill="1" applyBorder="1"/>
    <xf numFmtId="0" fontId="6" fillId="3" borderId="7" xfId="0" applyFont="1" applyFill="1" applyBorder="1"/>
    <xf numFmtId="0" fontId="5" fillId="3" borderId="9" xfId="0" applyFont="1" applyFill="1" applyBorder="1"/>
    <xf numFmtId="0" fontId="5" fillId="3" borderId="13" xfId="0" applyFont="1" applyFill="1" applyBorder="1"/>
    <xf numFmtId="0" fontId="5" fillId="3" borderId="16" xfId="0" applyFont="1" applyFill="1" applyBorder="1"/>
    <xf numFmtId="0" fontId="4" fillId="5" borderId="27" xfId="0" applyFont="1" applyFill="1" applyBorder="1" applyProtection="1">
      <protection locked="0"/>
    </xf>
    <xf numFmtId="0" fontId="4" fillId="5" borderId="25" xfId="0" applyFont="1" applyFill="1" applyBorder="1" applyProtection="1">
      <protection locked="0"/>
    </xf>
    <xf numFmtId="0" fontId="4" fillId="5" borderId="26" xfId="0" applyFont="1" applyFill="1" applyBorder="1" applyProtection="1">
      <protection locked="0"/>
    </xf>
    <xf numFmtId="0" fontId="4" fillId="5" borderId="28" xfId="0" applyFont="1" applyFill="1" applyBorder="1" applyProtection="1">
      <protection locked="0"/>
    </xf>
    <xf numFmtId="0" fontId="8" fillId="0" borderId="0" xfId="1"/>
    <xf numFmtId="0" fontId="0" fillId="0" borderId="0" xfId="0" applyAlignment="1">
      <alignment horizontal="center"/>
    </xf>
    <xf numFmtId="0" fontId="0" fillId="7" borderId="50" xfId="0" applyFill="1" applyBorder="1" applyAlignment="1">
      <alignment horizontal="center"/>
    </xf>
    <xf numFmtId="0" fontId="0" fillId="7" borderId="51" xfId="0" applyFill="1" applyBorder="1" applyAlignment="1">
      <alignment horizontal="center"/>
    </xf>
    <xf numFmtId="0" fontId="0" fillId="7" borderId="52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7" borderId="16" xfId="0" applyFill="1" applyBorder="1" applyAlignment="1">
      <alignment horizontal="center"/>
    </xf>
    <xf numFmtId="167" fontId="0" fillId="7" borderId="53" xfId="0" applyNumberFormat="1" applyFill="1" applyBorder="1" applyAlignment="1">
      <alignment horizontal="center"/>
    </xf>
    <xf numFmtId="0" fontId="0" fillId="7" borderId="53" xfId="0" applyFill="1" applyBorder="1" applyAlignment="1">
      <alignment horizontal="center"/>
    </xf>
    <xf numFmtId="0" fontId="0" fillId="7" borderId="54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55" xfId="0" applyBorder="1" applyAlignment="1">
      <alignment horizontal="center"/>
    </xf>
    <xf numFmtId="0" fontId="7" fillId="3" borderId="57" xfId="0" applyFont="1" applyFill="1" applyBorder="1" applyAlignment="1">
      <alignment horizontal="left"/>
    </xf>
    <xf numFmtId="0" fontId="0" fillId="7" borderId="3" xfId="0" applyFill="1" applyBorder="1" applyAlignment="1">
      <alignment horizontal="center" vertical="center" wrapText="1"/>
    </xf>
    <xf numFmtId="167" fontId="0" fillId="7" borderId="58" xfId="0" applyNumberFormat="1" applyFill="1" applyBorder="1" applyAlignment="1">
      <alignment horizontal="center"/>
    </xf>
    <xf numFmtId="0" fontId="0" fillId="8" borderId="48" xfId="0" applyFill="1" applyBorder="1" applyAlignment="1">
      <alignment horizontal="center"/>
    </xf>
    <xf numFmtId="168" fontId="0" fillId="8" borderId="49" xfId="0" applyNumberFormat="1" applyFill="1" applyBorder="1" applyAlignment="1">
      <alignment horizontal="center"/>
    </xf>
    <xf numFmtId="170" fontId="0" fillId="8" borderId="47" xfId="0" applyNumberFormat="1" applyFill="1" applyBorder="1"/>
    <xf numFmtId="170" fontId="0" fillId="8" borderId="49" xfId="0" applyNumberFormat="1" applyFill="1" applyBorder="1"/>
    <xf numFmtId="0" fontId="0" fillId="7" borderId="55" xfId="0" applyFill="1" applyBorder="1" applyAlignment="1">
      <alignment horizontal="center"/>
    </xf>
    <xf numFmtId="0" fontId="0" fillId="7" borderId="59" xfId="0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0" borderId="3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7" fontId="0" fillId="7" borderId="60" xfId="0" applyNumberFormat="1" applyFill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172" fontId="0" fillId="0" borderId="22" xfId="0" applyNumberFormat="1" applyBorder="1" applyAlignment="1">
      <alignment horizontal="center" vertical="center"/>
    </xf>
    <xf numFmtId="172" fontId="0" fillId="0" borderId="18" xfId="0" applyNumberFormat="1" applyBorder="1" applyAlignment="1">
      <alignment horizontal="center" vertical="center"/>
    </xf>
    <xf numFmtId="0" fontId="0" fillId="0" borderId="22" xfId="0" quotePrefix="1" applyBorder="1" applyAlignment="1">
      <alignment horizontal="center" vertical="center"/>
    </xf>
    <xf numFmtId="0" fontId="0" fillId="0" borderId="18" xfId="0" quotePrefix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" xfId="0" quotePrefix="1" applyBorder="1" applyAlignment="1">
      <alignment horizontal="center" vertical="center"/>
    </xf>
    <xf numFmtId="0" fontId="0" fillId="8" borderId="3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47" xfId="0" applyFill="1" applyBorder="1" applyAlignment="1">
      <alignment horizontal="center"/>
    </xf>
    <xf numFmtId="0" fontId="0" fillId="0" borderId="1" xfId="0" applyBorder="1" applyAlignment="1">
      <alignment horizontal="center"/>
    </xf>
    <xf numFmtId="170" fontId="0" fillId="8" borderId="3" xfId="0" applyNumberFormat="1" applyFill="1" applyBorder="1" applyAlignment="1">
      <alignment horizontal="center" vertical="center"/>
    </xf>
    <xf numFmtId="170" fontId="0" fillId="8" borderId="4" xfId="0" applyNumberFormat="1" applyFill="1" applyBorder="1" applyAlignment="1">
      <alignment horizontal="center" vertical="center"/>
    </xf>
    <xf numFmtId="0" fontId="0" fillId="8" borderId="24" xfId="0" applyFill="1" applyBorder="1"/>
    <xf numFmtId="170" fontId="0" fillId="8" borderId="28" xfId="0" applyNumberFormat="1" applyFill="1" applyBorder="1"/>
    <xf numFmtId="0" fontId="0" fillId="0" borderId="18" xfId="0" applyBorder="1" applyAlignment="1">
      <alignment horizontal="center"/>
    </xf>
    <xf numFmtId="172" fontId="0" fillId="0" borderId="17" xfId="0" applyNumberFormat="1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170" fontId="0" fillId="8" borderId="1" xfId="0" applyNumberFormat="1" applyFill="1" applyBorder="1"/>
    <xf numFmtId="0" fontId="0" fillId="7" borderId="63" xfId="0" applyFill="1" applyBorder="1" applyAlignment="1">
      <alignment horizontal="center"/>
    </xf>
    <xf numFmtId="0" fontId="0" fillId="8" borderId="24" xfId="0" applyFill="1" applyBorder="1" applyAlignment="1">
      <alignment horizontal="center"/>
    </xf>
    <xf numFmtId="170" fontId="0" fillId="8" borderId="28" xfId="0" applyNumberFormat="1" applyFill="1" applyBorder="1" applyAlignment="1">
      <alignment horizontal="center"/>
    </xf>
    <xf numFmtId="170" fontId="0" fillId="8" borderId="43" xfId="0" applyNumberFormat="1" applyFill="1" applyBorder="1" applyAlignment="1">
      <alignment horizontal="center" vertical="center"/>
    </xf>
    <xf numFmtId="170" fontId="0" fillId="8" borderId="46" xfId="0" applyNumberFormat="1" applyFill="1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0" fillId="0" borderId="28" xfId="0" applyBorder="1" applyAlignment="1">
      <alignment horizontal="center"/>
    </xf>
    <xf numFmtId="0" fontId="5" fillId="3" borderId="5" xfId="0" applyFont="1" applyFill="1" applyBorder="1"/>
    <xf numFmtId="0" fontId="7" fillId="3" borderId="5" xfId="0" applyFont="1" applyFill="1" applyBorder="1" applyAlignment="1">
      <alignment horizontal="left"/>
    </xf>
    <xf numFmtId="0" fontId="6" fillId="3" borderId="5" xfId="0" applyFont="1" applyFill="1" applyBorder="1"/>
    <xf numFmtId="0" fontId="7" fillId="3" borderId="31" xfId="0" applyFont="1" applyFill="1" applyBorder="1" applyAlignment="1">
      <alignment horizontal="left"/>
    </xf>
    <xf numFmtId="0" fontId="7" fillId="3" borderId="65" xfId="0" applyFont="1" applyFill="1" applyBorder="1" applyAlignment="1">
      <alignment horizontal="left"/>
    </xf>
    <xf numFmtId="0" fontId="7" fillId="3" borderId="17" xfId="0" applyFont="1" applyFill="1" applyBorder="1" applyAlignment="1">
      <alignment horizontal="left"/>
    </xf>
    <xf numFmtId="0" fontId="5" fillId="3" borderId="17" xfId="0" applyFont="1" applyFill="1" applyBorder="1"/>
    <xf numFmtId="0" fontId="7" fillId="3" borderId="7" xfId="0" applyFont="1" applyFill="1" applyBorder="1" applyAlignment="1">
      <alignment horizontal="left"/>
    </xf>
    <xf numFmtId="170" fontId="0" fillId="8" borderId="1" xfId="0" applyNumberFormat="1" applyFill="1" applyBorder="1" applyAlignment="1">
      <alignment horizontal="center"/>
    </xf>
    <xf numFmtId="0" fontId="5" fillId="3" borderId="19" xfId="0" applyFont="1" applyFill="1" applyBorder="1"/>
    <xf numFmtId="0" fontId="2" fillId="3" borderId="0" xfId="0" applyFont="1" applyFill="1"/>
    <xf numFmtId="0" fontId="2" fillId="3" borderId="47" xfId="0" applyFont="1" applyFill="1" applyBorder="1"/>
    <xf numFmtId="0" fontId="2" fillId="3" borderId="15" xfId="0" applyFont="1" applyFill="1" applyBorder="1"/>
    <xf numFmtId="0" fontId="2" fillId="3" borderId="46" xfId="0" applyFont="1" applyFill="1" applyBorder="1"/>
    <xf numFmtId="0" fontId="2" fillId="10" borderId="1" xfId="0" applyFont="1" applyFill="1" applyBorder="1"/>
    <xf numFmtId="0" fontId="0" fillId="0" borderId="66" xfId="0" applyBorder="1"/>
    <xf numFmtId="0" fontId="0" fillId="0" borderId="70" xfId="0" applyBorder="1"/>
    <xf numFmtId="0" fontId="0" fillId="7" borderId="17" xfId="0" applyFill="1" applyBorder="1" applyAlignment="1">
      <alignment wrapText="1"/>
    </xf>
    <xf numFmtId="0" fontId="0" fillId="0" borderId="55" xfId="0" applyBorder="1" applyAlignment="1">
      <alignment wrapText="1"/>
    </xf>
    <xf numFmtId="0" fontId="0" fillId="0" borderId="55" xfId="0" applyBorder="1"/>
    <xf numFmtId="0" fontId="0" fillId="7" borderId="18" xfId="0" applyFill="1" applyBorder="1" applyAlignment="1">
      <alignment wrapText="1"/>
    </xf>
    <xf numFmtId="0" fontId="0" fillId="7" borderId="51" xfId="0" applyFill="1" applyBorder="1" applyAlignment="1">
      <alignment wrapText="1"/>
    </xf>
    <xf numFmtId="0" fontId="0" fillId="7" borderId="46" xfId="0" applyFill="1" applyBorder="1"/>
    <xf numFmtId="0" fontId="0" fillId="7" borderId="21" xfId="0" applyFill="1" applyBorder="1" applyAlignment="1">
      <alignment wrapText="1"/>
    </xf>
    <xf numFmtId="0" fontId="0" fillId="0" borderId="59" xfId="0" applyBorder="1"/>
    <xf numFmtId="0" fontId="0" fillId="7" borderId="48" xfId="0" applyFill="1" applyBorder="1"/>
    <xf numFmtId="0" fontId="0" fillId="0" borderId="15" xfId="0" applyBorder="1"/>
    <xf numFmtId="0" fontId="0" fillId="0" borderId="51" xfId="0" applyBorder="1"/>
    <xf numFmtId="0" fontId="0" fillId="0" borderId="52" xfId="0" applyBorder="1"/>
    <xf numFmtId="0" fontId="0" fillId="0" borderId="47" xfId="0" applyBorder="1"/>
    <xf numFmtId="0" fontId="0" fillId="0" borderId="49" xfId="0" applyBorder="1"/>
    <xf numFmtId="0" fontId="0" fillId="7" borderId="67" xfId="0" applyFill="1" applyBorder="1" applyAlignment="1">
      <alignment wrapText="1"/>
    </xf>
    <xf numFmtId="0" fontId="0" fillId="0" borderId="3" xfId="0" applyBorder="1"/>
    <xf numFmtId="0" fontId="0" fillId="0" borderId="4" xfId="0" applyBorder="1"/>
    <xf numFmtId="0" fontId="0" fillId="7" borderId="55" xfId="0" applyFill="1" applyBorder="1" applyAlignment="1">
      <alignment wrapText="1"/>
    </xf>
    <xf numFmtId="0" fontId="0" fillId="0" borderId="18" xfId="0" applyBorder="1"/>
    <xf numFmtId="0" fontId="0" fillId="0" borderId="21" xfId="0" applyBorder="1"/>
    <xf numFmtId="0" fontId="0" fillId="0" borderId="46" xfId="0" applyBorder="1"/>
    <xf numFmtId="0" fontId="0" fillId="0" borderId="48" xfId="0" applyBorder="1"/>
    <xf numFmtId="0" fontId="0" fillId="0" borderId="69" xfId="0" applyBorder="1"/>
    <xf numFmtId="0" fontId="0" fillId="0" borderId="67" xfId="0" applyBorder="1"/>
    <xf numFmtId="0" fontId="0" fillId="7" borderId="16" xfId="0" applyFill="1" applyBorder="1" applyAlignment="1">
      <alignment wrapText="1"/>
    </xf>
    <xf numFmtId="0" fontId="0" fillId="0" borderId="9" xfId="0" applyBorder="1"/>
    <xf numFmtId="0" fontId="0" fillId="0" borderId="16" xfId="0" applyBorder="1"/>
    <xf numFmtId="0" fontId="0" fillId="7" borderId="50" xfId="0" applyFill="1" applyBorder="1" applyAlignment="1">
      <alignment wrapText="1"/>
    </xf>
    <xf numFmtId="0" fontId="0" fillId="7" borderId="52" xfId="0" applyFill="1" applyBorder="1" applyAlignment="1">
      <alignment wrapText="1"/>
    </xf>
    <xf numFmtId="0" fontId="0" fillId="0" borderId="32" xfId="0" applyBorder="1"/>
    <xf numFmtId="0" fontId="0" fillId="0" borderId="71" xfId="0" applyBorder="1"/>
    <xf numFmtId="0" fontId="0" fillId="0" borderId="50" xfId="0" applyBorder="1"/>
    <xf numFmtId="0" fontId="0" fillId="7" borderId="39" xfId="0" applyFill="1" applyBorder="1" applyAlignment="1">
      <alignment wrapText="1"/>
    </xf>
    <xf numFmtId="0" fontId="0" fillId="7" borderId="9" xfId="0" applyFill="1" applyBorder="1" applyAlignment="1">
      <alignment wrapText="1"/>
    </xf>
    <xf numFmtId="0" fontId="0" fillId="7" borderId="65" xfId="0" applyFill="1" applyBorder="1" applyAlignment="1">
      <alignment wrapText="1"/>
    </xf>
    <xf numFmtId="0" fontId="0" fillId="7" borderId="37" xfId="0" applyFill="1" applyBorder="1" applyAlignment="1">
      <alignment wrapText="1"/>
    </xf>
    <xf numFmtId="0" fontId="0" fillId="0" borderId="2" xfId="0" applyBorder="1"/>
    <xf numFmtId="0" fontId="0" fillId="0" borderId="43" xfId="0" applyBorder="1"/>
    <xf numFmtId="0" fontId="0" fillId="0" borderId="45" xfId="0" applyBorder="1"/>
    <xf numFmtId="0" fontId="0" fillId="7" borderId="43" xfId="0" applyFill="1" applyBorder="1"/>
    <xf numFmtId="0" fontId="0" fillId="11" borderId="4" xfId="0" applyFill="1" applyBorder="1"/>
    <xf numFmtId="0" fontId="0" fillId="11" borderId="3" xfId="0" applyFill="1" applyBorder="1"/>
    <xf numFmtId="0" fontId="0" fillId="7" borderId="3" xfId="0" applyFill="1" applyBorder="1"/>
    <xf numFmtId="0" fontId="0" fillId="0" borderId="24" xfId="0" applyBorder="1"/>
    <xf numFmtId="0" fontId="0" fillId="0" borderId="28" xfId="0" applyBorder="1"/>
    <xf numFmtId="0" fontId="0" fillId="0" borderId="24" xfId="0" applyBorder="1" applyAlignment="1">
      <alignment wrapText="1"/>
    </xf>
    <xf numFmtId="0" fontId="0" fillId="0" borderId="48" xfId="0" applyBorder="1" applyAlignment="1">
      <alignment wrapText="1"/>
    </xf>
    <xf numFmtId="0" fontId="2" fillId="3" borderId="49" xfId="0" applyFont="1" applyFill="1" applyBorder="1"/>
    <xf numFmtId="0" fontId="0" fillId="12" borderId="2" xfId="0" applyFill="1" applyBorder="1"/>
    <xf numFmtId="0" fontId="14" fillId="12" borderId="3" xfId="0" applyFont="1" applyFill="1" applyBorder="1"/>
    <xf numFmtId="0" fontId="0" fillId="0" borderId="25" xfId="0" applyBorder="1"/>
    <xf numFmtId="0" fontId="15" fillId="0" borderId="0" xfId="0" applyFont="1"/>
    <xf numFmtId="0" fontId="0" fillId="0" borderId="44" xfId="0" applyBorder="1"/>
    <xf numFmtId="0" fontId="0" fillId="0" borderId="51" xfId="0" quotePrefix="1" applyBorder="1"/>
    <xf numFmtId="0" fontId="0" fillId="0" borderId="66" xfId="0" quotePrefix="1" applyBorder="1" applyAlignment="1">
      <alignment wrapText="1"/>
    </xf>
    <xf numFmtId="0" fontId="0" fillId="3" borderId="44" xfId="0" applyFill="1" applyBorder="1"/>
    <xf numFmtId="0" fontId="0" fillId="3" borderId="45" xfId="0" applyFill="1" applyBorder="1"/>
    <xf numFmtId="0" fontId="0" fillId="3" borderId="0" xfId="0" applyFill="1"/>
    <xf numFmtId="0" fontId="0" fillId="3" borderId="47" xfId="0" applyFill="1" applyBorder="1"/>
    <xf numFmtId="0" fontId="2" fillId="10" borderId="0" xfId="0" applyFont="1" applyFill="1"/>
    <xf numFmtId="0" fontId="0" fillId="10" borderId="0" xfId="0" applyFill="1"/>
    <xf numFmtId="0" fontId="17" fillId="0" borderId="0" xfId="0" applyFont="1"/>
    <xf numFmtId="0" fontId="5" fillId="10" borderId="0" xfId="0" applyFont="1" applyFill="1"/>
    <xf numFmtId="0" fontId="13" fillId="3" borderId="0" xfId="0" applyFont="1" applyFill="1"/>
    <xf numFmtId="0" fontId="13" fillId="3" borderId="47" xfId="0" applyFont="1" applyFill="1" applyBorder="1"/>
    <xf numFmtId="0" fontId="16" fillId="10" borderId="0" xfId="0" applyFont="1" applyFill="1"/>
    <xf numFmtId="44" fontId="0" fillId="10" borderId="0" xfId="0" applyNumberFormat="1" applyFill="1"/>
    <xf numFmtId="0" fontId="2" fillId="3" borderId="0" xfId="0" applyFont="1" applyFill="1" applyAlignment="1">
      <alignment horizontal="right"/>
    </xf>
    <xf numFmtId="0" fontId="0" fillId="13" borderId="43" xfId="0" applyFill="1" applyBorder="1"/>
    <xf numFmtId="0" fontId="2" fillId="13" borderId="44" xfId="0" applyFont="1" applyFill="1" applyBorder="1"/>
    <xf numFmtId="0" fontId="0" fillId="13" borderId="44" xfId="0" applyFill="1" applyBorder="1"/>
    <xf numFmtId="0" fontId="2" fillId="13" borderId="45" xfId="0" applyFont="1" applyFill="1" applyBorder="1"/>
    <xf numFmtId="0" fontId="0" fillId="13" borderId="46" xfId="0" applyFill="1" applyBorder="1"/>
    <xf numFmtId="0" fontId="2" fillId="13" borderId="0" xfId="0" applyFont="1" applyFill="1"/>
    <xf numFmtId="0" fontId="2" fillId="13" borderId="47" xfId="0" applyFont="1" applyFill="1" applyBorder="1"/>
    <xf numFmtId="0" fontId="19" fillId="13" borderId="46" xfId="0" applyFont="1" applyFill="1" applyBorder="1"/>
    <xf numFmtId="0" fontId="0" fillId="13" borderId="48" xfId="0" applyFill="1" applyBorder="1"/>
    <xf numFmtId="0" fontId="2" fillId="13" borderId="15" xfId="0" applyFont="1" applyFill="1" applyBorder="1"/>
    <xf numFmtId="0" fontId="2" fillId="13" borderId="49" xfId="0" applyFont="1" applyFill="1" applyBorder="1"/>
    <xf numFmtId="0" fontId="2" fillId="3" borderId="72" xfId="0" applyFont="1" applyFill="1" applyBorder="1"/>
    <xf numFmtId="0" fontId="2" fillId="3" borderId="42" xfId="0" applyFont="1" applyFill="1" applyBorder="1"/>
    <xf numFmtId="0" fontId="4" fillId="10" borderId="15" xfId="0" applyFont="1" applyFill="1" applyBorder="1" applyAlignment="1">
      <alignment horizontal="center"/>
    </xf>
    <xf numFmtId="0" fontId="10" fillId="13" borderId="3" xfId="0" applyFont="1" applyFill="1" applyBorder="1" applyAlignment="1">
      <alignment horizontal="center" vertical="center" textRotation="90"/>
    </xf>
    <xf numFmtId="0" fontId="10" fillId="13" borderId="4" xfId="0" applyFont="1" applyFill="1" applyBorder="1" applyAlignment="1">
      <alignment horizontal="center" vertical="center" textRotation="90"/>
    </xf>
    <xf numFmtId="0" fontId="5" fillId="13" borderId="43" xfId="0" applyFont="1" applyFill="1" applyBorder="1" applyAlignment="1">
      <alignment horizontal="center"/>
    </xf>
    <xf numFmtId="0" fontId="5" fillId="13" borderId="44" xfId="0" applyFont="1" applyFill="1" applyBorder="1" applyAlignment="1">
      <alignment horizontal="center"/>
    </xf>
    <xf numFmtId="0" fontId="5" fillId="13" borderId="45" xfId="0" applyFont="1" applyFill="1" applyBorder="1" applyAlignment="1">
      <alignment horizontal="center"/>
    </xf>
    <xf numFmtId="0" fontId="10" fillId="13" borderId="2" xfId="0" applyFont="1" applyFill="1" applyBorder="1" applyAlignment="1">
      <alignment horizontal="center" vertical="center" textRotation="90"/>
    </xf>
    <xf numFmtId="0" fontId="5" fillId="13" borderId="2" xfId="0" applyFont="1" applyFill="1" applyBorder="1" applyAlignment="1">
      <alignment horizontal="center"/>
    </xf>
    <xf numFmtId="0" fontId="5" fillId="13" borderId="54" xfId="0" applyFont="1" applyFill="1" applyBorder="1" applyAlignment="1">
      <alignment horizontal="center"/>
    </xf>
    <xf numFmtId="0" fontId="2" fillId="3" borderId="46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47" xfId="0" applyFont="1" applyFill="1" applyBorder="1" applyAlignment="1">
      <alignment horizontal="center"/>
    </xf>
    <xf numFmtId="0" fontId="10" fillId="10" borderId="48" xfId="0" applyFont="1" applyFill="1" applyBorder="1" applyAlignment="1" applyProtection="1">
      <alignment horizontal="center"/>
      <protection locked="0"/>
    </xf>
    <xf numFmtId="0" fontId="10" fillId="10" borderId="15" xfId="0" applyFont="1" applyFill="1" applyBorder="1" applyAlignment="1" applyProtection="1">
      <alignment horizontal="center"/>
      <protection locked="0"/>
    </xf>
    <xf numFmtId="0" fontId="10" fillId="10" borderId="49" xfId="0" applyFont="1" applyFill="1" applyBorder="1" applyAlignment="1" applyProtection="1">
      <alignment horizontal="center"/>
      <protection locked="0"/>
    </xf>
    <xf numFmtId="0" fontId="2" fillId="3" borderId="48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49" xfId="0" applyFont="1" applyFill="1" applyBorder="1" applyAlignment="1">
      <alignment horizontal="center"/>
    </xf>
    <xf numFmtId="0" fontId="8" fillId="10" borderId="0" xfId="1" applyFill="1" applyBorder="1" applyAlignment="1">
      <alignment horizontal="center"/>
    </xf>
    <xf numFmtId="0" fontId="0" fillId="10" borderId="0" xfId="0" applyFill="1" applyAlignment="1">
      <alignment horizontal="center"/>
    </xf>
    <xf numFmtId="167" fontId="10" fillId="10" borderId="43" xfId="0" applyNumberFormat="1" applyFont="1" applyFill="1" applyBorder="1" applyAlignment="1" applyProtection="1">
      <alignment horizontal="center" vertical="center"/>
      <protection locked="0"/>
    </xf>
    <xf numFmtId="167" fontId="10" fillId="10" borderId="45" xfId="0" applyNumberFormat="1" applyFont="1" applyFill="1" applyBorder="1" applyAlignment="1" applyProtection="1">
      <alignment horizontal="center" vertical="center"/>
      <protection locked="0"/>
    </xf>
    <xf numFmtId="167" fontId="10" fillId="10" borderId="48" xfId="0" applyNumberFormat="1" applyFont="1" applyFill="1" applyBorder="1" applyAlignment="1" applyProtection="1">
      <alignment horizontal="center" vertical="center"/>
      <protection locked="0"/>
    </xf>
    <xf numFmtId="167" fontId="10" fillId="10" borderId="49" xfId="0" applyNumberFormat="1" applyFont="1" applyFill="1" applyBorder="1" applyAlignment="1" applyProtection="1">
      <alignment horizontal="center" vertical="center"/>
      <protection locked="0"/>
    </xf>
    <xf numFmtId="0" fontId="12" fillId="3" borderId="0" xfId="0" applyFont="1" applyFill="1" applyAlignment="1">
      <alignment horizontal="center" vertical="center"/>
    </xf>
    <xf numFmtId="0" fontId="2" fillId="3" borderId="46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1" fillId="13" borderId="24" xfId="0" applyFont="1" applyFill="1" applyBorder="1" applyAlignment="1">
      <alignment horizontal="center"/>
    </xf>
    <xf numFmtId="0" fontId="11" fillId="13" borderId="25" xfId="0" applyFont="1" applyFill="1" applyBorder="1" applyAlignment="1">
      <alignment horizontal="center"/>
    </xf>
    <xf numFmtId="0" fontId="11" fillId="13" borderId="28" xfId="0" applyFont="1" applyFill="1" applyBorder="1" applyAlignment="1">
      <alignment horizontal="center"/>
    </xf>
    <xf numFmtId="0" fontId="18" fillId="13" borderId="24" xfId="0" applyFont="1" applyFill="1" applyBorder="1" applyAlignment="1">
      <alignment horizontal="center"/>
    </xf>
    <xf numFmtId="0" fontId="3" fillId="13" borderId="25" xfId="0" applyFont="1" applyFill="1" applyBorder="1" applyAlignment="1">
      <alignment horizontal="center"/>
    </xf>
    <xf numFmtId="0" fontId="3" fillId="13" borderId="28" xfId="0" applyFont="1" applyFill="1" applyBorder="1" applyAlignment="1">
      <alignment horizontal="center"/>
    </xf>
    <xf numFmtId="0" fontId="1" fillId="2" borderId="34" xfId="0" applyFont="1" applyFill="1" applyBorder="1" applyAlignment="1">
      <alignment horizontal="center"/>
    </xf>
    <xf numFmtId="0" fontId="1" fillId="2" borderId="35" xfId="0" applyFont="1" applyFill="1" applyBorder="1" applyAlignment="1">
      <alignment horizontal="center"/>
    </xf>
    <xf numFmtId="165" fontId="2" fillId="2" borderId="39" xfId="0" applyNumberFormat="1" applyFont="1" applyFill="1" applyBorder="1" applyAlignment="1">
      <alignment horizontal="center"/>
    </xf>
    <xf numFmtId="165" fontId="2" fillId="2" borderId="40" xfId="0" applyNumberFormat="1" applyFont="1" applyFill="1" applyBorder="1" applyAlignment="1">
      <alignment horizontal="center"/>
    </xf>
    <xf numFmtId="165" fontId="2" fillId="2" borderId="41" xfId="0" applyNumberFormat="1" applyFont="1" applyFill="1" applyBorder="1" applyAlignment="1">
      <alignment horizontal="center"/>
    </xf>
    <xf numFmtId="165" fontId="2" fillId="2" borderId="42" xfId="0" applyNumberFormat="1" applyFont="1" applyFill="1" applyBorder="1" applyAlignment="1">
      <alignment horizontal="center"/>
    </xf>
    <xf numFmtId="166" fontId="2" fillId="2" borderId="36" xfId="0" applyNumberFormat="1" applyFont="1" applyFill="1" applyBorder="1" applyAlignment="1">
      <alignment horizontal="center"/>
    </xf>
    <xf numFmtId="166" fontId="2" fillId="2" borderId="6" xfId="0" applyNumberFormat="1" applyFont="1" applyFill="1" applyBorder="1" applyAlignment="1">
      <alignment horizontal="center"/>
    </xf>
    <xf numFmtId="166" fontId="2" fillId="2" borderId="7" xfId="0" applyNumberFormat="1" applyFont="1" applyFill="1" applyBorder="1" applyAlignment="1">
      <alignment horizontal="center"/>
    </xf>
    <xf numFmtId="166" fontId="2" fillId="2" borderId="38" xfId="0" applyNumberFormat="1" applyFont="1" applyFill="1" applyBorder="1" applyAlignment="1">
      <alignment horizontal="center"/>
    </xf>
    <xf numFmtId="165" fontId="2" fillId="2" borderId="36" xfId="0" applyNumberFormat="1" applyFont="1" applyFill="1" applyBorder="1" applyAlignment="1">
      <alignment horizontal="center"/>
    </xf>
    <xf numFmtId="165" fontId="2" fillId="2" borderId="6" xfId="0" applyNumberFormat="1" applyFont="1" applyFill="1" applyBorder="1" applyAlignment="1">
      <alignment horizontal="center"/>
    </xf>
    <xf numFmtId="165" fontId="2" fillId="2" borderId="7" xfId="0" applyNumberFormat="1" applyFont="1" applyFill="1" applyBorder="1" applyAlignment="1">
      <alignment horizontal="center"/>
    </xf>
    <xf numFmtId="165" fontId="2" fillId="2" borderId="38" xfId="0" applyNumberFormat="1" applyFont="1" applyFill="1" applyBorder="1" applyAlignment="1">
      <alignment horizontal="center"/>
    </xf>
    <xf numFmtId="0" fontId="3" fillId="6" borderId="24" xfId="0" applyFont="1" applyFill="1" applyBorder="1" applyAlignment="1">
      <alignment horizontal="center"/>
    </xf>
    <xf numFmtId="0" fontId="3" fillId="6" borderId="25" xfId="0" applyFont="1" applyFill="1" applyBorder="1" applyAlignment="1">
      <alignment horizontal="center"/>
    </xf>
    <xf numFmtId="0" fontId="3" fillId="6" borderId="28" xfId="0" applyFont="1" applyFill="1" applyBorder="1" applyAlignment="1">
      <alignment horizontal="center"/>
    </xf>
    <xf numFmtId="165" fontId="2" fillId="4" borderId="5" xfId="0" applyNumberFormat="1" applyFont="1" applyFill="1" applyBorder="1" applyAlignment="1" applyProtection="1">
      <alignment horizontal="center"/>
      <protection locked="0"/>
    </xf>
    <xf numFmtId="165" fontId="2" fillId="4" borderId="20" xfId="0" applyNumberFormat="1" applyFont="1" applyFill="1" applyBorder="1" applyAlignment="1" applyProtection="1">
      <alignment horizontal="center"/>
      <protection locked="0"/>
    </xf>
    <xf numFmtId="164" fontId="2" fillId="3" borderId="5" xfId="0" applyNumberFormat="1" applyFont="1" applyFill="1" applyBorder="1" applyAlignment="1">
      <alignment horizontal="center"/>
    </xf>
    <xf numFmtId="164" fontId="2" fillId="3" borderId="20" xfId="0" applyNumberFormat="1" applyFont="1" applyFill="1" applyBorder="1" applyAlignment="1">
      <alignment horizontal="center"/>
    </xf>
    <xf numFmtId="165" fontId="2" fillId="2" borderId="17" xfId="0" applyNumberFormat="1" applyFont="1" applyFill="1" applyBorder="1" applyAlignment="1">
      <alignment horizontal="center"/>
    </xf>
    <xf numFmtId="165" fontId="2" fillId="2" borderId="37" xfId="0" applyNumberFormat="1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2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/>
    </xf>
    <xf numFmtId="0" fontId="2" fillId="4" borderId="19" xfId="0" applyFont="1" applyFill="1" applyBorder="1" applyAlignment="1" applyProtection="1">
      <alignment horizontal="center"/>
      <protection locked="0"/>
    </xf>
    <xf numFmtId="0" fontId="2" fillId="4" borderId="29" xfId="0" applyFont="1" applyFill="1" applyBorder="1" applyAlignment="1" applyProtection="1">
      <alignment horizontal="center"/>
      <protection locked="0"/>
    </xf>
    <xf numFmtId="0" fontId="2" fillId="5" borderId="30" xfId="0" applyFont="1" applyFill="1" applyBorder="1" applyAlignment="1">
      <alignment horizontal="center"/>
    </xf>
    <xf numFmtId="0" fontId="2" fillId="5" borderId="19" xfId="0" applyFont="1" applyFill="1" applyBorder="1" applyAlignment="1">
      <alignment horizontal="center"/>
    </xf>
    <xf numFmtId="165" fontId="2" fillId="4" borderId="14" xfId="0" applyNumberFormat="1" applyFont="1" applyFill="1" applyBorder="1" applyAlignment="1" applyProtection="1">
      <alignment horizontal="center"/>
      <protection locked="0"/>
    </xf>
    <xf numFmtId="165" fontId="2" fillId="4" borderId="12" xfId="0" applyNumberFormat="1" applyFont="1" applyFill="1" applyBorder="1" applyAlignment="1" applyProtection="1">
      <alignment horizontal="center"/>
      <protection locked="0"/>
    </xf>
    <xf numFmtId="165" fontId="2" fillId="4" borderId="13" xfId="0" applyNumberFormat="1" applyFont="1" applyFill="1" applyBorder="1" applyAlignment="1" applyProtection="1">
      <alignment horizontal="center"/>
      <protection locked="0"/>
    </xf>
    <xf numFmtId="0" fontId="7" fillId="3" borderId="12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0" fontId="7" fillId="3" borderId="15" xfId="0" applyFont="1" applyFill="1" applyBorder="1" applyAlignment="1">
      <alignment horizontal="left"/>
    </xf>
    <xf numFmtId="165" fontId="2" fillId="4" borderId="19" xfId="0" applyNumberFormat="1" applyFont="1" applyFill="1" applyBorder="1" applyAlignment="1" applyProtection="1">
      <alignment horizontal="center"/>
      <protection locked="0"/>
    </xf>
    <xf numFmtId="165" fontId="2" fillId="4" borderId="22" xfId="0" applyNumberFormat="1" applyFont="1" applyFill="1" applyBorder="1" applyAlignment="1" applyProtection="1">
      <alignment horizontal="center"/>
      <protection locked="0"/>
    </xf>
    <xf numFmtId="165" fontId="2" fillId="4" borderId="23" xfId="0" applyNumberFormat="1" applyFont="1" applyFill="1" applyBorder="1" applyAlignment="1" applyProtection="1">
      <alignment horizontal="center"/>
      <protection locked="0"/>
    </xf>
    <xf numFmtId="165" fontId="2" fillId="3" borderId="18" xfId="0" applyNumberFormat="1" applyFont="1" applyFill="1" applyBorder="1" applyAlignment="1">
      <alignment horizontal="center"/>
    </xf>
    <xf numFmtId="165" fontId="2" fillId="3" borderId="21" xfId="0" applyNumberFormat="1" applyFont="1" applyFill="1" applyBorder="1" applyAlignment="1">
      <alignment horizontal="center"/>
    </xf>
    <xf numFmtId="0" fontId="7" fillId="5" borderId="24" xfId="0" applyFont="1" applyFill="1" applyBorder="1" applyAlignment="1">
      <alignment horizontal="center"/>
    </xf>
    <xf numFmtId="0" fontId="7" fillId="5" borderId="25" xfId="0" applyFont="1" applyFill="1" applyBorder="1" applyAlignment="1">
      <alignment horizontal="center"/>
    </xf>
    <xf numFmtId="0" fontId="7" fillId="5" borderId="26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left"/>
    </xf>
    <xf numFmtId="0" fontId="7" fillId="3" borderId="10" xfId="0" applyFont="1" applyFill="1" applyBorder="1" applyAlignment="1">
      <alignment horizontal="left"/>
    </xf>
    <xf numFmtId="0" fontId="4" fillId="5" borderId="3" xfId="0" applyFont="1" applyFill="1" applyBorder="1" applyAlignment="1">
      <alignment horizontal="right" vertical="center" textRotation="90"/>
    </xf>
    <xf numFmtId="0" fontId="4" fillId="5" borderId="2" xfId="0" applyFont="1" applyFill="1" applyBorder="1" applyAlignment="1">
      <alignment horizontal="right" vertical="center" textRotation="90"/>
    </xf>
    <xf numFmtId="0" fontId="4" fillId="5" borderId="4" xfId="0" applyFont="1" applyFill="1" applyBorder="1" applyAlignment="1">
      <alignment horizontal="right" vertical="center" textRotation="90"/>
    </xf>
    <xf numFmtId="0" fontId="0" fillId="0" borderId="3" xfId="0" applyBorder="1" applyAlignment="1">
      <alignment horizontal="center"/>
    </xf>
    <xf numFmtId="0" fontId="0" fillId="0" borderId="43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9" borderId="24" xfId="0" applyFill="1" applyBorder="1" applyAlignment="1">
      <alignment horizontal="center"/>
    </xf>
    <xf numFmtId="0" fontId="0" fillId="9" borderId="25" xfId="0" applyFill="1" applyBorder="1" applyAlignment="1">
      <alignment horizontal="center"/>
    </xf>
    <xf numFmtId="0" fontId="0" fillId="9" borderId="44" xfId="0" applyFill="1" applyBorder="1" applyAlignment="1">
      <alignment horizontal="center"/>
    </xf>
    <xf numFmtId="0" fontId="0" fillId="9" borderId="28" xfId="0" applyFill="1" applyBorder="1" applyAlignment="1">
      <alignment horizontal="center"/>
    </xf>
    <xf numFmtId="0" fontId="0" fillId="0" borderId="4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3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9" borderId="43" xfId="0" applyFill="1" applyBorder="1" applyAlignment="1">
      <alignment horizontal="center" vertical="top"/>
    </xf>
    <xf numFmtId="0" fontId="0" fillId="9" borderId="44" xfId="0" applyFill="1" applyBorder="1" applyAlignment="1">
      <alignment horizontal="center" vertical="top"/>
    </xf>
    <xf numFmtId="0" fontId="0" fillId="9" borderId="45" xfId="0" applyFill="1" applyBorder="1" applyAlignment="1">
      <alignment horizontal="center" vertical="top"/>
    </xf>
    <xf numFmtId="0" fontId="0" fillId="9" borderId="46" xfId="0" applyFill="1" applyBorder="1" applyAlignment="1">
      <alignment horizontal="center" vertical="top"/>
    </xf>
    <xf numFmtId="0" fontId="0" fillId="9" borderId="0" xfId="0" applyFill="1" applyAlignment="1">
      <alignment horizontal="center" vertical="top"/>
    </xf>
    <xf numFmtId="0" fontId="0" fillId="9" borderId="47" xfId="0" applyFill="1" applyBorder="1" applyAlignment="1">
      <alignment horizontal="center" vertical="top"/>
    </xf>
    <xf numFmtId="0" fontId="0" fillId="9" borderId="48" xfId="0" applyFill="1" applyBorder="1" applyAlignment="1">
      <alignment horizontal="center" vertical="top"/>
    </xf>
    <xf numFmtId="0" fontId="0" fillId="9" borderId="15" xfId="0" applyFill="1" applyBorder="1" applyAlignment="1">
      <alignment horizontal="center" vertical="top"/>
    </xf>
    <xf numFmtId="0" fontId="0" fillId="9" borderId="49" xfId="0" applyFill="1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7" borderId="2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0" fillId="7" borderId="43" xfId="0" applyFill="1" applyBorder="1" applyAlignment="1">
      <alignment horizontal="center"/>
    </xf>
    <xf numFmtId="0" fontId="0" fillId="7" borderId="44" xfId="0" applyFill="1" applyBorder="1" applyAlignment="1">
      <alignment horizontal="center"/>
    </xf>
    <xf numFmtId="0" fontId="0" fillId="7" borderId="45" xfId="0" applyFill="1" applyBorder="1" applyAlignment="1">
      <alignment horizontal="center"/>
    </xf>
    <xf numFmtId="0" fontId="0" fillId="7" borderId="43" xfId="0" applyFill="1" applyBorder="1" applyAlignment="1">
      <alignment horizontal="center" vertical="center"/>
    </xf>
    <xf numFmtId="0" fontId="0" fillId="7" borderId="44" xfId="0" applyFill="1" applyBorder="1" applyAlignment="1">
      <alignment horizontal="center" vertical="center"/>
    </xf>
    <xf numFmtId="0" fontId="0" fillId="7" borderId="45" xfId="0" applyFill="1" applyBorder="1" applyAlignment="1">
      <alignment horizontal="center" vertical="center"/>
    </xf>
    <xf numFmtId="0" fontId="0" fillId="7" borderId="48" xfId="0" applyFill="1" applyBorder="1" applyAlignment="1">
      <alignment horizontal="center" vertical="center"/>
    </xf>
    <xf numFmtId="0" fontId="0" fillId="7" borderId="15" xfId="0" applyFill="1" applyBorder="1" applyAlignment="1">
      <alignment horizontal="center" vertical="center"/>
    </xf>
    <xf numFmtId="0" fontId="0" fillId="7" borderId="49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9" fillId="0" borderId="44" xfId="0" applyFont="1" applyBorder="1" applyAlignment="1">
      <alignment horizontal="center" vertical="center" textRotation="90"/>
    </xf>
    <xf numFmtId="0" fontId="9" fillId="0" borderId="0" xfId="0" applyFont="1" applyAlignment="1">
      <alignment horizontal="center" vertical="center" textRotation="90"/>
    </xf>
    <xf numFmtId="0" fontId="9" fillId="0" borderId="15" xfId="0" applyFont="1" applyBorder="1" applyAlignment="1">
      <alignment horizontal="center" vertical="center" textRotation="90"/>
    </xf>
    <xf numFmtId="0" fontId="0" fillId="7" borderId="48" xfId="0" applyFill="1" applyBorder="1" applyAlignment="1">
      <alignment horizontal="center"/>
    </xf>
    <xf numFmtId="0" fontId="0" fillId="7" borderId="49" xfId="0" applyFill="1" applyBorder="1" applyAlignment="1">
      <alignment horizontal="center"/>
    </xf>
    <xf numFmtId="0" fontId="0" fillId="7" borderId="61" xfId="0" applyFill="1" applyBorder="1" applyAlignment="1">
      <alignment horizontal="center" vertical="center"/>
    </xf>
    <xf numFmtId="0" fontId="0" fillId="7" borderId="50" xfId="0" applyFill="1" applyBorder="1" applyAlignment="1">
      <alignment horizontal="center" vertical="center"/>
    </xf>
    <xf numFmtId="0" fontId="0" fillId="7" borderId="0" xfId="0" applyFill="1" applyAlignment="1">
      <alignment horizontal="center"/>
    </xf>
    <xf numFmtId="0" fontId="0" fillId="7" borderId="47" xfId="0" applyFill="1" applyBorder="1" applyAlignment="1">
      <alignment horizontal="center"/>
    </xf>
    <xf numFmtId="0" fontId="0" fillId="7" borderId="46" xfId="0" applyFill="1" applyBorder="1" applyAlignment="1">
      <alignment horizontal="center"/>
    </xf>
    <xf numFmtId="0" fontId="0" fillId="7" borderId="60" xfId="0" applyFill="1" applyBorder="1" applyAlignment="1">
      <alignment horizontal="center" vertical="center"/>
    </xf>
    <xf numFmtId="0" fontId="0" fillId="7" borderId="54" xfId="0" applyFill="1" applyBorder="1" applyAlignment="1">
      <alignment horizontal="center" vertical="center"/>
    </xf>
    <xf numFmtId="0" fontId="0" fillId="7" borderId="15" xfId="0" applyFill="1" applyBorder="1" applyAlignment="1">
      <alignment horizontal="center"/>
    </xf>
    <xf numFmtId="0" fontId="9" fillId="0" borderId="62" xfId="0" applyFont="1" applyBorder="1" applyAlignment="1">
      <alignment horizontal="center" vertical="center" textRotation="90"/>
    </xf>
    <xf numFmtId="0" fontId="9" fillId="0" borderId="55" xfId="0" applyFont="1" applyBorder="1" applyAlignment="1">
      <alignment horizontal="center" vertical="center" textRotation="90"/>
    </xf>
    <xf numFmtId="0" fontId="9" fillId="0" borderId="51" xfId="0" applyFont="1" applyBorder="1" applyAlignment="1">
      <alignment horizontal="center" vertical="center" textRotation="90"/>
    </xf>
    <xf numFmtId="0" fontId="0" fillId="7" borderId="64" xfId="0" applyFill="1" applyBorder="1" applyAlignment="1">
      <alignment horizontal="center" vertical="center"/>
    </xf>
    <xf numFmtId="0" fontId="0" fillId="7" borderId="52" xfId="0" applyFill="1" applyBorder="1" applyAlignment="1">
      <alignment horizontal="center" vertical="center"/>
    </xf>
    <xf numFmtId="0" fontId="0" fillId="7" borderId="46" xfId="0" applyFill="1" applyBorder="1" applyAlignment="1">
      <alignment horizontal="center" vertical="center"/>
    </xf>
    <xf numFmtId="0" fontId="0" fillId="7" borderId="47" xfId="0" applyFill="1" applyBorder="1" applyAlignment="1">
      <alignment horizontal="center" vertical="center"/>
    </xf>
    <xf numFmtId="0" fontId="0" fillId="7" borderId="46" xfId="0" applyFill="1" applyBorder="1" applyAlignment="1">
      <alignment horizontal="center" wrapText="1"/>
    </xf>
    <xf numFmtId="0" fontId="0" fillId="7" borderId="47" xfId="0" applyFill="1" applyBorder="1" applyAlignment="1">
      <alignment horizontal="center" wrapText="1"/>
    </xf>
    <xf numFmtId="0" fontId="0" fillId="7" borderId="48" xfId="0" applyFill="1" applyBorder="1" applyAlignment="1">
      <alignment horizontal="center" wrapText="1"/>
    </xf>
    <xf numFmtId="0" fontId="0" fillId="7" borderId="49" xfId="0" applyFill="1" applyBorder="1" applyAlignment="1">
      <alignment horizontal="center" wrapText="1"/>
    </xf>
    <xf numFmtId="0" fontId="0" fillId="9" borderId="43" xfId="0" applyFill="1" applyBorder="1" applyAlignment="1">
      <alignment horizontal="center"/>
    </xf>
    <xf numFmtId="0" fontId="0" fillId="9" borderId="45" xfId="0" applyFill="1" applyBorder="1" applyAlignment="1">
      <alignment horizontal="center"/>
    </xf>
    <xf numFmtId="0" fontId="0" fillId="9" borderId="24" xfId="0" applyFill="1" applyBorder="1" applyAlignment="1">
      <alignment horizontal="center" vertical="center"/>
    </xf>
    <xf numFmtId="0" fontId="0" fillId="9" borderId="25" xfId="0" applyFill="1" applyBorder="1" applyAlignment="1">
      <alignment horizontal="center" vertical="center"/>
    </xf>
    <xf numFmtId="0" fontId="0" fillId="9" borderId="28" xfId="0" applyFill="1" applyBorder="1" applyAlignment="1">
      <alignment horizontal="center" vertical="center"/>
    </xf>
    <xf numFmtId="0" fontId="1" fillId="9" borderId="24" xfId="0" applyFont="1" applyFill="1" applyBorder="1" applyAlignment="1">
      <alignment horizontal="center" vertical="center" wrapText="1"/>
    </xf>
    <xf numFmtId="0" fontId="1" fillId="9" borderId="28" xfId="0" applyFont="1" applyFill="1" applyBorder="1" applyAlignment="1">
      <alignment horizontal="center" vertical="center" wrapText="1"/>
    </xf>
    <xf numFmtId="0" fontId="1" fillId="9" borderId="24" xfId="0" applyFont="1" applyFill="1" applyBorder="1" applyAlignment="1">
      <alignment horizontal="center" wrapText="1"/>
    </xf>
    <xf numFmtId="0" fontId="1" fillId="9" borderId="28" xfId="0" applyFont="1" applyFill="1" applyBorder="1" applyAlignment="1">
      <alignment horizontal="center" wrapText="1"/>
    </xf>
    <xf numFmtId="169" fontId="0" fillId="8" borderId="48" xfId="0" applyNumberFormat="1" applyFill="1" applyBorder="1" applyAlignment="1">
      <alignment horizontal="center"/>
    </xf>
    <xf numFmtId="169" fontId="0" fillId="8" borderId="49" xfId="0" applyNumberFormat="1" applyFill="1" applyBorder="1" applyAlignment="1">
      <alignment horizontal="center"/>
    </xf>
    <xf numFmtId="0" fontId="7" fillId="3" borderId="68" xfId="0" applyFont="1" applyFill="1" applyBorder="1" applyAlignment="1">
      <alignment horizontal="left"/>
    </xf>
    <xf numFmtId="0" fontId="7" fillId="3" borderId="57" xfId="0" applyFont="1" applyFill="1" applyBorder="1" applyAlignment="1">
      <alignment horizontal="left"/>
    </xf>
    <xf numFmtId="0" fontId="7" fillId="3" borderId="48" xfId="0" applyFont="1" applyFill="1" applyBorder="1" applyAlignment="1">
      <alignment horizontal="left"/>
    </xf>
    <xf numFmtId="170" fontId="0" fillId="8" borderId="56" xfId="0" applyNumberFormat="1" applyFill="1" applyBorder="1" applyAlignment="1">
      <alignment horizontal="center"/>
    </xf>
    <xf numFmtId="170" fontId="0" fillId="8" borderId="45" xfId="0" applyNumberFormat="1" applyFill="1" applyBorder="1" applyAlignment="1">
      <alignment horizontal="center"/>
    </xf>
    <xf numFmtId="170" fontId="0" fillId="8" borderId="66" xfId="0" applyNumberFormat="1" applyFill="1" applyBorder="1" applyAlignment="1">
      <alignment horizontal="center"/>
    </xf>
    <xf numFmtId="170" fontId="0" fillId="8" borderId="47" xfId="0" applyNumberFormat="1" applyFill="1" applyBorder="1" applyAlignment="1">
      <alignment horizontal="center"/>
    </xf>
    <xf numFmtId="171" fontId="0" fillId="8" borderId="66" xfId="0" applyNumberFormat="1" applyFill="1" applyBorder="1" applyAlignment="1">
      <alignment horizontal="center"/>
    </xf>
    <xf numFmtId="171" fontId="0" fillId="8" borderId="47" xfId="0" applyNumberFormat="1" applyFill="1" applyBorder="1" applyAlignment="1">
      <alignment horizontal="center"/>
    </xf>
    <xf numFmtId="0" fontId="0" fillId="9" borderId="0" xfId="0" applyFill="1" applyAlignment="1">
      <alignment horizontal="center" wrapText="1"/>
    </xf>
    <xf numFmtId="0" fontId="0" fillId="9" borderId="15" xfId="0" applyFill="1" applyBorder="1" applyAlignment="1">
      <alignment horizontal="center" wrapText="1"/>
    </xf>
    <xf numFmtId="170" fontId="0" fillId="8" borderId="67" xfId="0" applyNumberFormat="1" applyFill="1" applyBorder="1" applyAlignment="1">
      <alignment horizontal="center"/>
    </xf>
    <xf numFmtId="170" fontId="0" fillId="8" borderId="49" xfId="0" applyNumberFormat="1" applyFill="1" applyBorder="1" applyAlignment="1">
      <alignment horizontal="center"/>
    </xf>
    <xf numFmtId="0" fontId="7" fillId="3" borderId="31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E26F0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504826</xdr:colOff>
      <xdr:row>0</xdr:row>
      <xdr:rowOff>38100</xdr:rowOff>
    </xdr:from>
    <xdr:to>
      <xdr:col>2</xdr:col>
      <xdr:colOff>295275</xdr:colOff>
      <xdr:row>4</xdr:row>
      <xdr:rowOff>95249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C525FA25-29EA-854B-81C7-93D0746BAC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626" y="38100"/>
          <a:ext cx="1009649" cy="10096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pv-gmbh.com/passungsrechner-toleranzen.htm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2475B-5035-4330-8628-A3C36668CF81}">
  <dimension ref="A3:P53"/>
  <sheetViews>
    <sheetView showGridLines="0" tabSelected="1" zoomScaleNormal="100" workbookViewId="0">
      <selection activeCell="Q21" sqref="Q21"/>
    </sheetView>
  </sheetViews>
  <sheetFormatPr baseColWidth="10" defaultColWidth="9.140625" defaultRowHeight="15" x14ac:dyDescent="0.25"/>
  <cols>
    <col min="1" max="3" width="9.140625" style="1"/>
    <col min="4" max="4" width="11.7109375" style="1" bestFit="1" customWidth="1"/>
    <col min="5" max="16384" width="9.140625" style="1"/>
  </cols>
  <sheetData>
    <row r="3" spans="1:12" ht="30" x14ac:dyDescent="0.4">
      <c r="D3" s="164" t="s">
        <v>270</v>
      </c>
    </row>
    <row r="5" spans="1:12" x14ac:dyDescent="0.25">
      <c r="A5" s="162"/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</row>
    <row r="6" spans="1:12" ht="15" customHeight="1" thickBot="1" x14ac:dyDescent="0.3">
      <c r="A6" s="162"/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62"/>
    </row>
    <row r="7" spans="1:12" ht="15.75" customHeight="1" thickBot="1" x14ac:dyDescent="0.3">
      <c r="A7" s="162"/>
      <c r="B7" s="185" t="s">
        <v>201</v>
      </c>
      <c r="C7" s="96"/>
      <c r="D7" s="96"/>
      <c r="E7" s="96"/>
      <c r="F7" s="166"/>
      <c r="G7" s="166"/>
      <c r="H7" s="166"/>
      <c r="I7" s="166"/>
      <c r="J7" s="166"/>
      <c r="K7" s="167"/>
      <c r="L7" s="162"/>
    </row>
    <row r="8" spans="1:12" ht="16.5" thickBot="1" x14ac:dyDescent="0.3">
      <c r="A8" s="162"/>
      <c r="B8" s="185"/>
      <c r="C8" s="96"/>
      <c r="D8" s="208" t="s">
        <v>200</v>
      </c>
      <c r="E8" s="208"/>
      <c r="F8" s="96"/>
      <c r="G8" s="96"/>
      <c r="H8" s="187" t="s">
        <v>254</v>
      </c>
      <c r="I8" s="188"/>
      <c r="J8" s="189"/>
      <c r="K8" s="97"/>
      <c r="L8" s="162"/>
    </row>
    <row r="9" spans="1:12" ht="15" customHeight="1" thickBot="1" x14ac:dyDescent="0.3">
      <c r="A9" s="162"/>
      <c r="B9" s="185"/>
      <c r="C9" s="99"/>
      <c r="D9" s="204">
        <v>30</v>
      </c>
      <c r="E9" s="205"/>
      <c r="F9" s="96"/>
      <c r="G9" s="96"/>
      <c r="H9" s="196" t="s">
        <v>260</v>
      </c>
      <c r="I9" s="197"/>
      <c r="J9" s="198"/>
      <c r="K9" s="97"/>
      <c r="L9" s="162"/>
    </row>
    <row r="10" spans="1:12" ht="15.75" customHeight="1" thickBot="1" x14ac:dyDescent="0.3">
      <c r="A10" s="162"/>
      <c r="B10" s="185"/>
      <c r="C10" s="99"/>
      <c r="D10" s="206"/>
      <c r="E10" s="207"/>
      <c r="F10" s="96"/>
      <c r="G10" s="96"/>
      <c r="H10" s="96"/>
      <c r="I10" s="96"/>
      <c r="J10" s="96"/>
      <c r="K10" s="97"/>
      <c r="L10" s="162"/>
    </row>
    <row r="11" spans="1:12" ht="15.75" thickBot="1" x14ac:dyDescent="0.3">
      <c r="A11" s="162"/>
      <c r="B11" s="185"/>
      <c r="C11" s="209" t="s">
        <v>253</v>
      </c>
      <c r="D11" s="210"/>
      <c r="E11" s="210"/>
      <c r="F11" s="210"/>
      <c r="G11" s="96"/>
      <c r="H11" s="96"/>
      <c r="I11" s="96"/>
      <c r="J11" s="96"/>
      <c r="K11" s="97"/>
      <c r="L11" s="162"/>
    </row>
    <row r="12" spans="1:12" ht="15.75" customHeight="1" x14ac:dyDescent="0.25">
      <c r="A12" s="162"/>
      <c r="B12" s="185"/>
      <c r="C12" s="209"/>
      <c r="D12" s="210"/>
      <c r="E12" s="210"/>
      <c r="F12" s="210"/>
      <c r="G12" s="96"/>
      <c r="H12" s="187" t="s">
        <v>255</v>
      </c>
      <c r="I12" s="188"/>
      <c r="J12" s="189"/>
      <c r="K12" s="97"/>
      <c r="L12" s="162"/>
    </row>
    <row r="13" spans="1:12" ht="16.5" thickBot="1" x14ac:dyDescent="0.3">
      <c r="A13" s="162"/>
      <c r="B13" s="185"/>
      <c r="C13" s="96"/>
      <c r="D13" s="96"/>
      <c r="E13" s="96"/>
      <c r="F13" s="96"/>
      <c r="G13" s="96"/>
      <c r="H13" s="196" t="s">
        <v>102</v>
      </c>
      <c r="I13" s="197"/>
      <c r="J13" s="198"/>
      <c r="K13" s="97"/>
      <c r="L13" s="162"/>
    </row>
    <row r="14" spans="1:12" ht="15.75" thickBot="1" x14ac:dyDescent="0.3">
      <c r="A14" s="162"/>
      <c r="B14" s="186"/>
      <c r="C14" s="98"/>
      <c r="D14" s="98"/>
      <c r="E14" s="98"/>
      <c r="F14" s="98"/>
      <c r="G14" s="98"/>
      <c r="H14" s="98"/>
      <c r="I14" s="98"/>
      <c r="J14" s="98"/>
      <c r="K14" s="150"/>
      <c r="L14" s="162"/>
    </row>
    <row r="15" spans="1:12" ht="15.75" thickBot="1" x14ac:dyDescent="0.3">
      <c r="A15" s="162"/>
      <c r="B15" s="163"/>
      <c r="C15" s="163"/>
      <c r="D15" s="163"/>
      <c r="E15" s="163"/>
      <c r="F15" s="163"/>
      <c r="G15" s="162"/>
      <c r="H15" s="162"/>
      <c r="I15" s="162"/>
      <c r="J15" s="162"/>
      <c r="K15" s="162"/>
      <c r="L15" s="162"/>
    </row>
    <row r="16" spans="1:12" ht="19.5" thickBot="1" x14ac:dyDescent="0.35">
      <c r="A16" s="162"/>
      <c r="B16" s="211" t="str">
        <f>Berechnungstabelle!B100&amp;Berechnungstabelle!D100&amp;Berechnungstabelle!B98</f>
        <v>Allgemeintoleranz nach ISO 2678-mK</v>
      </c>
      <c r="C16" s="212"/>
      <c r="D16" s="212"/>
      <c r="E16" s="212"/>
      <c r="F16" s="212"/>
      <c r="G16" s="212"/>
      <c r="H16" s="212"/>
      <c r="I16" s="212"/>
      <c r="J16" s="212"/>
      <c r="K16" s="213"/>
      <c r="L16" s="162"/>
    </row>
    <row r="17" spans="1:12" ht="15.75" customHeight="1" thickBot="1" x14ac:dyDescent="0.3">
      <c r="A17" s="162"/>
      <c r="B17" s="185" t="s">
        <v>265</v>
      </c>
      <c r="C17" s="96"/>
      <c r="D17" s="96"/>
      <c r="E17" s="96"/>
      <c r="F17" s="96"/>
      <c r="G17" s="96"/>
      <c r="H17" s="96"/>
      <c r="I17" s="96"/>
      <c r="J17" s="96"/>
      <c r="K17" s="97"/>
      <c r="L17" s="162"/>
    </row>
    <row r="18" spans="1:12" x14ac:dyDescent="0.25">
      <c r="A18" s="162"/>
      <c r="B18" s="185"/>
      <c r="C18" s="96"/>
      <c r="D18" s="187" t="s">
        <v>256</v>
      </c>
      <c r="E18" s="188"/>
      <c r="F18" s="189"/>
      <c r="G18" s="170"/>
      <c r="H18" s="187" t="s">
        <v>263</v>
      </c>
      <c r="I18" s="188"/>
      <c r="J18" s="189"/>
      <c r="K18" s="97"/>
      <c r="L18" s="162"/>
    </row>
    <row r="19" spans="1:12" ht="15.75" thickBot="1" x14ac:dyDescent="0.3">
      <c r="A19" s="162"/>
      <c r="B19" s="185"/>
      <c r="C19" s="96"/>
      <c r="D19" s="193" t="str">
        <f>Berechnungstabelle!F102</f>
        <v>± 0,2 mm</v>
      </c>
      <c r="E19" s="194"/>
      <c r="F19" s="195"/>
      <c r="G19" s="96"/>
      <c r="H19" s="199" t="str">
        <f>Berechnungstabelle!F103</f>
        <v>± 1 mm</v>
      </c>
      <c r="I19" s="200"/>
      <c r="J19" s="201"/>
      <c r="K19" s="97"/>
      <c r="L19" s="162"/>
    </row>
    <row r="20" spans="1:12" ht="15.75" thickBot="1" x14ac:dyDescent="0.3">
      <c r="A20" s="162"/>
      <c r="B20" s="185"/>
      <c r="C20" s="96"/>
      <c r="D20" s="199" t="str">
        <f>Berechnungstabelle!G102</f>
        <v>[ 30 ± 0,2 mm ]</v>
      </c>
      <c r="E20" s="200"/>
      <c r="F20" s="201"/>
      <c r="G20" s="96"/>
      <c r="H20" s="96"/>
      <c r="I20" s="96"/>
      <c r="J20" s="96"/>
      <c r="K20" s="97"/>
      <c r="L20" s="162"/>
    </row>
    <row r="21" spans="1:12" ht="18" x14ac:dyDescent="0.35">
      <c r="A21" s="163"/>
      <c r="B21" s="185"/>
      <c r="C21" s="96"/>
      <c r="D21" s="191" t="s">
        <v>274</v>
      </c>
      <c r="E21" s="191"/>
      <c r="F21" s="182" t="str">
        <f>Berechnungstabelle!H102</f>
        <v>30,2 mm</v>
      </c>
      <c r="G21" s="160"/>
      <c r="H21" s="187" t="s">
        <v>264</v>
      </c>
      <c r="I21" s="188"/>
      <c r="J21" s="189"/>
      <c r="K21" s="97"/>
      <c r="L21" s="162"/>
    </row>
    <row r="22" spans="1:12" ht="18.75" thickBot="1" x14ac:dyDescent="0.4">
      <c r="A22" s="163"/>
      <c r="B22" s="185"/>
      <c r="C22" s="96"/>
      <c r="D22" s="192" t="s">
        <v>275</v>
      </c>
      <c r="E22" s="192"/>
      <c r="F22" s="183" t="str">
        <f>Berechnungstabelle!I102</f>
        <v>29,8 mm</v>
      </c>
      <c r="G22" s="160"/>
      <c r="H22" s="199" t="str">
        <f>Berechnungstabelle!F104</f>
        <v>± 0°30´</v>
      </c>
      <c r="I22" s="200"/>
      <c r="J22" s="201"/>
      <c r="K22" s="97"/>
      <c r="L22" s="162"/>
    </row>
    <row r="23" spans="1:12" ht="15.75" thickBot="1" x14ac:dyDescent="0.3">
      <c r="A23" s="162"/>
      <c r="B23" s="186"/>
      <c r="C23" s="98"/>
      <c r="D23" s="98"/>
      <c r="E23" s="98"/>
      <c r="F23" s="98"/>
      <c r="G23" s="98"/>
      <c r="H23" s="98"/>
      <c r="I23" s="98"/>
      <c r="J23" s="98"/>
      <c r="K23" s="150"/>
      <c r="L23" s="162"/>
    </row>
    <row r="24" spans="1:12" ht="15.75" thickBot="1" x14ac:dyDescent="0.3">
      <c r="A24" s="163"/>
      <c r="B24" s="190" t="s">
        <v>266</v>
      </c>
      <c r="C24" s="158"/>
      <c r="D24" s="158"/>
      <c r="E24" s="158"/>
      <c r="F24" s="158"/>
      <c r="G24" s="158"/>
      <c r="H24" s="158"/>
      <c r="I24" s="158"/>
      <c r="J24" s="158"/>
      <c r="K24" s="159"/>
      <c r="L24" s="162"/>
    </row>
    <row r="25" spans="1:12" x14ac:dyDescent="0.25">
      <c r="A25" s="163"/>
      <c r="B25" s="185"/>
      <c r="C25" s="160"/>
      <c r="D25" s="187" t="s">
        <v>247</v>
      </c>
      <c r="E25" s="188"/>
      <c r="F25" s="189"/>
      <c r="G25" s="160"/>
      <c r="H25" s="187" t="s">
        <v>240</v>
      </c>
      <c r="I25" s="188"/>
      <c r="J25" s="189"/>
      <c r="K25" s="161"/>
      <c r="L25" s="162"/>
    </row>
    <row r="26" spans="1:12" ht="15.75" thickBot="1" x14ac:dyDescent="0.3">
      <c r="A26" s="162"/>
      <c r="B26" s="185"/>
      <c r="C26" s="96"/>
      <c r="D26" s="199" t="str">
        <f>Berechnungstabelle!F105</f>
        <v>0,1 mm</v>
      </c>
      <c r="E26" s="200"/>
      <c r="F26" s="201"/>
      <c r="G26" s="96"/>
      <c r="H26" s="199" t="str">
        <f>Berechnungstabelle!F106</f>
        <v>0,4 mm</v>
      </c>
      <c r="I26" s="200"/>
      <c r="J26" s="201"/>
      <c r="K26" s="97"/>
      <c r="L26" s="162"/>
    </row>
    <row r="27" spans="1:12" ht="15.75" thickBot="1" x14ac:dyDescent="0.3">
      <c r="A27" s="163"/>
      <c r="B27" s="185"/>
      <c r="C27" s="160"/>
      <c r="D27" s="160"/>
      <c r="E27" s="96"/>
      <c r="F27" s="96"/>
      <c r="G27" s="96"/>
      <c r="H27" s="96"/>
      <c r="I27" s="96"/>
      <c r="J27" s="96"/>
      <c r="K27" s="97"/>
      <c r="L27" s="162"/>
    </row>
    <row r="28" spans="1:12" x14ac:dyDescent="0.25">
      <c r="A28" s="163"/>
      <c r="B28" s="185"/>
      <c r="C28" s="160"/>
      <c r="D28" s="187" t="s">
        <v>243</v>
      </c>
      <c r="E28" s="188"/>
      <c r="F28" s="189"/>
      <c r="G28" s="96"/>
      <c r="H28" s="187" t="s">
        <v>242</v>
      </c>
      <c r="I28" s="188"/>
      <c r="J28" s="189"/>
      <c r="K28" s="97"/>
      <c r="L28" s="162"/>
    </row>
    <row r="29" spans="1:12" ht="15.75" thickBot="1" x14ac:dyDescent="0.3">
      <c r="A29" s="162"/>
      <c r="B29" s="185"/>
      <c r="C29" s="96"/>
      <c r="D29" s="199" t="str">
        <f>Berechnungstabelle!F107</f>
        <v>0,6 mm</v>
      </c>
      <c r="E29" s="200"/>
      <c r="F29" s="201"/>
      <c r="G29" s="96"/>
      <c r="H29" s="199" t="str">
        <f>Berechnungstabelle!F108</f>
        <v>0,2 mm</v>
      </c>
      <c r="I29" s="200"/>
      <c r="J29" s="201"/>
      <c r="K29" s="97"/>
      <c r="L29" s="162"/>
    </row>
    <row r="30" spans="1:12" ht="19.5" customHeight="1" thickBot="1" x14ac:dyDescent="0.3">
      <c r="A30" s="162"/>
      <c r="B30" s="186"/>
      <c r="C30" s="98"/>
      <c r="D30" s="98"/>
      <c r="E30" s="98"/>
      <c r="F30" s="98"/>
      <c r="G30" s="98"/>
      <c r="H30" s="98"/>
      <c r="I30" s="98"/>
      <c r="J30" s="98"/>
      <c r="K30" s="150"/>
      <c r="L30" s="162"/>
    </row>
    <row r="31" spans="1:12" x14ac:dyDescent="0.25">
      <c r="A31" s="162"/>
      <c r="B31" s="162" t="s">
        <v>267</v>
      </c>
      <c r="C31" s="162"/>
      <c r="D31" s="162"/>
      <c r="E31" s="162"/>
      <c r="F31" s="162"/>
      <c r="G31" s="162"/>
      <c r="H31" s="162"/>
      <c r="I31" s="162"/>
      <c r="J31" s="162"/>
      <c r="K31" s="162"/>
      <c r="L31" s="162"/>
    </row>
    <row r="32" spans="1:12" x14ac:dyDescent="0.25">
      <c r="A32" s="162"/>
      <c r="C32" s="162"/>
      <c r="D32" s="162"/>
      <c r="E32" s="162"/>
      <c r="F32" s="162"/>
      <c r="G32" s="162"/>
      <c r="H32" s="162"/>
      <c r="I32" s="162"/>
      <c r="J32" s="162"/>
      <c r="K32" s="162"/>
      <c r="L32" s="162"/>
    </row>
    <row r="33" spans="1:16" ht="15.75" thickBot="1" x14ac:dyDescent="0.3">
      <c r="A33" s="162"/>
      <c r="B33" s="162"/>
      <c r="C33" s="162"/>
      <c r="D33" s="162"/>
      <c r="E33" s="162"/>
      <c r="F33" s="162"/>
      <c r="G33" s="162"/>
      <c r="H33" s="162"/>
      <c r="I33" s="162"/>
      <c r="K33" s="162"/>
      <c r="L33" s="162"/>
    </row>
    <row r="34" spans="1:16" ht="15.75" thickBot="1" x14ac:dyDescent="0.3">
      <c r="A34" s="162"/>
      <c r="B34" s="214" t="s">
        <v>23</v>
      </c>
      <c r="C34" s="215"/>
      <c r="D34" s="216"/>
      <c r="E34" s="162"/>
      <c r="F34" s="162"/>
      <c r="G34" s="162"/>
      <c r="H34" s="168"/>
      <c r="I34" s="165"/>
      <c r="J34" s="165"/>
      <c r="K34" s="165"/>
      <c r="L34" s="162"/>
    </row>
    <row r="35" spans="1:16" ht="15.75" thickBot="1" x14ac:dyDescent="0.3">
      <c r="A35" s="162"/>
      <c r="B35" s="100"/>
      <c r="C35" s="3" t="s">
        <v>22</v>
      </c>
      <c r="D35" s="4"/>
      <c r="E35" s="163"/>
      <c r="F35" s="163"/>
      <c r="G35" s="163"/>
      <c r="H35" s="163"/>
      <c r="I35" s="163"/>
      <c r="J35" s="163"/>
      <c r="K35" s="163"/>
      <c r="L35" s="162"/>
    </row>
    <row r="36" spans="1:16" ht="15.75" thickBot="1" x14ac:dyDescent="0.3">
      <c r="A36" s="162"/>
      <c r="B36" s="5"/>
      <c r="C36" s="3" t="s">
        <v>24</v>
      </c>
      <c r="D36" s="4"/>
      <c r="E36" s="163"/>
      <c r="F36" s="169"/>
      <c r="G36" s="163"/>
      <c r="H36" s="163"/>
      <c r="I36" s="163"/>
      <c r="J36" s="163"/>
      <c r="K36" s="163"/>
      <c r="L36" s="162"/>
    </row>
    <row r="37" spans="1:16" ht="15.75" thickBot="1" x14ac:dyDescent="0.3">
      <c r="A37" s="162"/>
      <c r="B37" s="163"/>
      <c r="C37" s="162"/>
      <c r="D37" s="162"/>
      <c r="E37" s="203"/>
      <c r="F37" s="203"/>
      <c r="G37" s="203"/>
      <c r="H37" s="203"/>
      <c r="I37" s="202"/>
      <c r="J37" s="202"/>
      <c r="K37" s="162"/>
      <c r="L37" s="162"/>
    </row>
    <row r="38" spans="1:16" x14ac:dyDescent="0.25">
      <c r="A38" s="162"/>
      <c r="B38" s="171" t="s">
        <v>269</v>
      </c>
      <c r="C38" s="172"/>
      <c r="D38" s="172"/>
      <c r="E38" s="173"/>
      <c r="F38" s="173"/>
      <c r="G38" s="173"/>
      <c r="H38" s="173"/>
      <c r="I38" s="173"/>
      <c r="J38" s="173"/>
      <c r="K38" s="173"/>
      <c r="L38" s="172"/>
      <c r="M38" s="172"/>
      <c r="N38" s="172"/>
      <c r="O38" s="172"/>
      <c r="P38" s="174"/>
    </row>
    <row r="39" spans="1:16" x14ac:dyDescent="0.25">
      <c r="A39" s="162"/>
      <c r="B39" s="175" t="s">
        <v>271</v>
      </c>
      <c r="C39" s="176"/>
      <c r="D39" s="176"/>
      <c r="E39" s="176"/>
      <c r="F39" s="176"/>
      <c r="G39" s="176"/>
      <c r="H39" s="176"/>
      <c r="I39" s="176"/>
      <c r="J39" s="176"/>
      <c r="K39" s="176"/>
      <c r="L39" s="176"/>
      <c r="M39" s="176"/>
      <c r="N39" s="176"/>
      <c r="O39" s="176"/>
      <c r="P39" s="177"/>
    </row>
    <row r="40" spans="1:16" x14ac:dyDescent="0.25">
      <c r="A40" s="162"/>
      <c r="B40" s="178" t="s">
        <v>272</v>
      </c>
      <c r="C40" s="176"/>
      <c r="D40" s="176"/>
      <c r="E40" s="176"/>
      <c r="F40" s="176"/>
      <c r="G40" s="176"/>
      <c r="H40" s="176"/>
      <c r="I40" s="176"/>
      <c r="J40" s="176"/>
      <c r="K40" s="176"/>
      <c r="L40" s="176"/>
      <c r="M40" s="176"/>
      <c r="N40" s="176"/>
      <c r="O40" s="176"/>
      <c r="P40" s="177"/>
    </row>
    <row r="41" spans="1:16" ht="15.75" thickBot="1" x14ac:dyDescent="0.3">
      <c r="A41" s="162"/>
      <c r="B41" s="179" t="s">
        <v>273</v>
      </c>
      <c r="C41" s="180"/>
      <c r="D41" s="180"/>
      <c r="E41" s="180"/>
      <c r="F41" s="180"/>
      <c r="G41" s="180"/>
      <c r="H41" s="180"/>
      <c r="I41" s="180"/>
      <c r="J41" s="180"/>
      <c r="K41" s="180"/>
      <c r="L41" s="180"/>
      <c r="M41" s="180"/>
      <c r="N41" s="180"/>
      <c r="O41" s="180"/>
      <c r="P41" s="181"/>
    </row>
    <row r="42" spans="1:16" x14ac:dyDescent="0.25">
      <c r="A42" s="162"/>
      <c r="B42" s="162"/>
      <c r="C42" s="162"/>
      <c r="D42" s="162"/>
      <c r="E42" s="162"/>
      <c r="F42" s="162"/>
      <c r="G42" s="162"/>
      <c r="H42" s="162"/>
      <c r="I42" s="162"/>
      <c r="J42" s="162"/>
      <c r="K42" s="162"/>
      <c r="L42" s="162"/>
    </row>
    <row r="43" spans="1:16" x14ac:dyDescent="0.25">
      <c r="A43" s="162"/>
      <c r="B43" s="162"/>
      <c r="C43" s="162"/>
      <c r="D43" s="162"/>
      <c r="E43" s="162"/>
      <c r="F43" s="162"/>
      <c r="G43" s="162"/>
      <c r="H43" s="162"/>
      <c r="I43" s="162"/>
      <c r="J43" s="162"/>
      <c r="K43" s="162"/>
      <c r="L43" s="162"/>
    </row>
    <row r="44" spans="1:16" x14ac:dyDescent="0.25">
      <c r="A44" s="162"/>
      <c r="B44" s="162"/>
      <c r="C44" s="162"/>
      <c r="D44" s="162"/>
      <c r="E44" s="162"/>
      <c r="F44" s="162"/>
      <c r="G44" s="162"/>
      <c r="H44" s="162"/>
      <c r="I44" s="162"/>
      <c r="J44" s="162"/>
      <c r="K44" s="162"/>
      <c r="L44" s="162"/>
    </row>
    <row r="45" spans="1:16" x14ac:dyDescent="0.25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  <c r="L45" s="163"/>
      <c r="M45"/>
      <c r="N45"/>
      <c r="O45"/>
    </row>
    <row r="46" spans="1:16" x14ac:dyDescent="0.25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  <c r="L46" s="163"/>
      <c r="M46"/>
      <c r="N46"/>
      <c r="O46"/>
    </row>
    <row r="47" spans="1:16" x14ac:dyDescent="0.25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  <c r="L47" s="163"/>
      <c r="M47"/>
      <c r="N47"/>
      <c r="O47"/>
    </row>
    <row r="48" spans="1:16" x14ac:dyDescent="0.25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  <c r="L48" s="163"/>
      <c r="M48"/>
      <c r="N48"/>
      <c r="O48"/>
    </row>
    <row r="49" spans="1:15" x14ac:dyDescent="0.25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  <c r="L49" s="163"/>
      <c r="M49"/>
      <c r="N49"/>
      <c r="O49"/>
    </row>
    <row r="50" spans="1:15" x14ac:dyDescent="0.25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  <c r="L50" s="163"/>
      <c r="M50"/>
      <c r="N50"/>
      <c r="O50"/>
    </row>
    <row r="51" spans="1:15" x14ac:dyDescent="0.25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  <c r="L51" s="163"/>
      <c r="M51"/>
      <c r="N51"/>
      <c r="O51"/>
    </row>
    <row r="52" spans="1:15" x14ac:dyDescent="0.25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  <c r="L52" s="163"/>
      <c r="M52"/>
      <c r="N52"/>
      <c r="O52"/>
    </row>
    <row r="53" spans="1:15" x14ac:dyDescent="0.25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  <c r="L53" s="163"/>
      <c r="M53"/>
      <c r="N53"/>
      <c r="O53"/>
    </row>
  </sheetData>
  <mergeCells count="32">
    <mergeCell ref="I37:J37"/>
    <mergeCell ref="E37:H37"/>
    <mergeCell ref="D9:E10"/>
    <mergeCell ref="D8:E8"/>
    <mergeCell ref="C11:F12"/>
    <mergeCell ref="D28:F28"/>
    <mergeCell ref="D29:F29"/>
    <mergeCell ref="D20:F20"/>
    <mergeCell ref="H19:J19"/>
    <mergeCell ref="H22:J22"/>
    <mergeCell ref="B16:K16"/>
    <mergeCell ref="D25:F25"/>
    <mergeCell ref="D26:F26"/>
    <mergeCell ref="H25:J25"/>
    <mergeCell ref="H26:J26"/>
    <mergeCell ref="B34:D34"/>
    <mergeCell ref="B6:K6"/>
    <mergeCell ref="B7:B14"/>
    <mergeCell ref="H8:J8"/>
    <mergeCell ref="H12:J12"/>
    <mergeCell ref="B24:B30"/>
    <mergeCell ref="B17:B23"/>
    <mergeCell ref="H18:J18"/>
    <mergeCell ref="D18:F18"/>
    <mergeCell ref="H21:J21"/>
    <mergeCell ref="D21:E21"/>
    <mergeCell ref="D22:E22"/>
    <mergeCell ref="D19:F19"/>
    <mergeCell ref="H9:J9"/>
    <mergeCell ref="H13:J13"/>
    <mergeCell ref="H28:J28"/>
    <mergeCell ref="H29:J29"/>
  </mergeCells>
  <pageMargins left="0.7" right="0.7" top="0.75" bottom="0.75" header="0.3" footer="0.3"/>
  <pageSetup paperSize="9" orientation="portrait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C368503A-63D8-4728-955C-52DCA02E3A79}">
          <x14:formula1>
            <xm:f>Grundtoleranzen!$B$104:$B$107</xm:f>
          </x14:formula1>
          <xm:sqref>H9:J9</xm:sqref>
        </x14:dataValidation>
        <x14:dataValidation type="list" allowBlank="1" showInputMessage="1" showErrorMessage="1" xr:uid="{A8E8387E-2E2B-4CA3-B2F6-832342BCE49F}">
          <x14:formula1>
            <xm:f>Grundtoleranzen!$B$114:$B$116</xm:f>
          </x14:formula1>
          <xm:sqref>H13:J13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B2:BG35"/>
  <sheetViews>
    <sheetView workbookViewId="0">
      <selection activeCell="R18" sqref="R18:U18"/>
    </sheetView>
  </sheetViews>
  <sheetFormatPr baseColWidth="10" defaultColWidth="9.140625" defaultRowHeight="15" x14ac:dyDescent="0.25"/>
  <cols>
    <col min="1" max="1" width="14.140625" style="1" customWidth="1"/>
    <col min="2" max="2" width="4.28515625" style="1" customWidth="1"/>
    <col min="3" max="5" width="9.140625" style="1"/>
    <col min="6" max="6" width="4.42578125" style="1" bestFit="1" customWidth="1"/>
    <col min="7" max="7" width="3.28515625" style="1" bestFit="1" customWidth="1"/>
    <col min="8" max="8" width="2" style="1" bestFit="1" customWidth="1"/>
    <col min="9" max="9" width="3.140625" style="1" bestFit="1" customWidth="1"/>
    <col min="10" max="10" width="4.42578125" style="1" bestFit="1" customWidth="1"/>
    <col min="11" max="11" width="3.28515625" style="1" bestFit="1" customWidth="1"/>
    <col min="12" max="12" width="2" style="1" bestFit="1" customWidth="1"/>
    <col min="13" max="13" width="2.7109375" style="1" bestFit="1" customWidth="1"/>
    <col min="14" max="14" width="4.42578125" style="1" bestFit="1" customWidth="1"/>
    <col min="15" max="15" width="3.5703125" style="1" bestFit="1" customWidth="1"/>
    <col min="16" max="16" width="1.85546875" style="1" bestFit="1" customWidth="1"/>
    <col min="17" max="17" width="3.140625" style="1" bestFit="1" customWidth="1"/>
    <col min="18" max="18" width="4.42578125" style="1" bestFit="1" customWidth="1"/>
    <col min="19" max="19" width="3.5703125" style="1" bestFit="1" customWidth="1"/>
    <col min="20" max="20" width="1.85546875" style="1" bestFit="1" customWidth="1"/>
    <col min="21" max="21" width="3.140625" style="1" bestFit="1" customWidth="1"/>
    <col min="22" max="22" width="4.42578125" style="1" bestFit="1" customWidth="1"/>
    <col min="23" max="23" width="3.140625" style="1" bestFit="1" customWidth="1"/>
    <col min="24" max="24" width="1.85546875" style="1" bestFit="1" customWidth="1"/>
    <col min="25" max="25" width="3.28515625" style="1" bestFit="1" customWidth="1"/>
    <col min="26" max="26" width="4.42578125" style="1" bestFit="1" customWidth="1"/>
    <col min="27" max="27" width="2.85546875" style="1" bestFit="1" customWidth="1"/>
    <col min="28" max="28" width="1.85546875" style="1" bestFit="1" customWidth="1"/>
    <col min="29" max="29" width="3.28515625" style="1" bestFit="1" customWidth="1"/>
    <col min="30" max="30" width="4.140625" style="1" bestFit="1" customWidth="1"/>
    <col min="31" max="31" width="3.140625" style="1" bestFit="1" customWidth="1"/>
    <col min="32" max="32" width="1.85546875" style="1" bestFit="1" customWidth="1"/>
    <col min="33" max="33" width="3.28515625" style="1" bestFit="1" customWidth="1"/>
    <col min="34" max="16384" width="9.140625" style="1"/>
  </cols>
  <sheetData>
    <row r="2" spans="2:59" x14ac:dyDescent="0.25">
      <c r="D2" s="1" t="s">
        <v>25</v>
      </c>
    </row>
    <row r="3" spans="2:59" x14ac:dyDescent="0.25">
      <c r="D3" s="17" t="s">
        <v>27</v>
      </c>
    </row>
    <row r="4" spans="2:59" x14ac:dyDescent="0.25">
      <c r="D4" s="1" t="s">
        <v>43</v>
      </c>
    </row>
    <row r="7" spans="2:59" ht="15.75" thickBot="1" x14ac:dyDescent="0.3"/>
    <row r="8" spans="2:59" ht="16.5" thickBot="1" x14ac:dyDescent="0.3">
      <c r="B8" s="261" t="s">
        <v>0</v>
      </c>
      <c r="C8" s="262"/>
      <c r="D8" s="262"/>
      <c r="E8" s="263"/>
      <c r="F8" s="13">
        <v>30</v>
      </c>
      <c r="G8" s="14" t="s">
        <v>11</v>
      </c>
      <c r="H8" s="6" t="s">
        <v>14</v>
      </c>
      <c r="I8" s="15" t="s">
        <v>12</v>
      </c>
      <c r="J8" s="13">
        <v>30</v>
      </c>
      <c r="K8" s="14" t="s">
        <v>26</v>
      </c>
      <c r="L8" s="6" t="s">
        <v>14</v>
      </c>
      <c r="M8" s="15" t="s">
        <v>13</v>
      </c>
      <c r="N8" s="13">
        <v>40</v>
      </c>
      <c r="O8" s="14" t="s">
        <v>11</v>
      </c>
      <c r="P8" s="6" t="s">
        <v>14</v>
      </c>
      <c r="Q8" s="15" t="s">
        <v>15</v>
      </c>
      <c r="R8" s="13">
        <v>20</v>
      </c>
      <c r="S8" s="14" t="s">
        <v>11</v>
      </c>
      <c r="T8" s="6" t="s">
        <v>14</v>
      </c>
      <c r="U8" s="15" t="s">
        <v>16</v>
      </c>
      <c r="V8" s="13">
        <v>30</v>
      </c>
      <c r="W8" s="14" t="s">
        <v>17</v>
      </c>
      <c r="X8" s="6" t="s">
        <v>14</v>
      </c>
      <c r="Y8" s="15" t="s">
        <v>18</v>
      </c>
      <c r="Z8" s="13">
        <v>30</v>
      </c>
      <c r="AA8" s="14" t="s">
        <v>19</v>
      </c>
      <c r="AB8" s="6" t="s">
        <v>14</v>
      </c>
      <c r="AC8" s="15" t="s">
        <v>20</v>
      </c>
      <c r="AD8" s="13">
        <v>40</v>
      </c>
      <c r="AE8" s="14" t="s">
        <v>21</v>
      </c>
      <c r="AF8" s="6" t="s">
        <v>14</v>
      </c>
      <c r="AG8" s="16" t="s">
        <v>20</v>
      </c>
    </row>
    <row r="9" spans="2:59" ht="15.75" x14ac:dyDescent="0.25">
      <c r="B9" s="266" t="s">
        <v>6</v>
      </c>
      <c r="C9" s="265" t="s">
        <v>1</v>
      </c>
      <c r="D9" s="265"/>
      <c r="E9" s="7" t="s">
        <v>32</v>
      </c>
      <c r="F9" s="257">
        <v>21</v>
      </c>
      <c r="G9" s="257"/>
      <c r="H9" s="257"/>
      <c r="I9" s="257"/>
      <c r="J9" s="257">
        <v>33</v>
      </c>
      <c r="K9" s="257"/>
      <c r="L9" s="257"/>
      <c r="M9" s="257"/>
      <c r="N9" s="257">
        <v>25</v>
      </c>
      <c r="O9" s="257"/>
      <c r="P9" s="257"/>
      <c r="Q9" s="257"/>
      <c r="R9" s="257">
        <v>21</v>
      </c>
      <c r="S9" s="257"/>
      <c r="T9" s="257"/>
      <c r="U9" s="257"/>
      <c r="V9" s="257">
        <v>53</v>
      </c>
      <c r="W9" s="257"/>
      <c r="X9" s="257"/>
      <c r="Y9" s="257"/>
      <c r="Z9" s="257">
        <v>12</v>
      </c>
      <c r="AA9" s="257"/>
      <c r="AB9" s="257"/>
      <c r="AC9" s="257"/>
      <c r="AD9" s="257">
        <v>-43</v>
      </c>
      <c r="AE9" s="257"/>
      <c r="AF9" s="257"/>
      <c r="AG9" s="258"/>
      <c r="AL9"/>
      <c r="AM9"/>
      <c r="AN9"/>
      <c r="AO9"/>
    </row>
    <row r="10" spans="2:59" ht="15.75" x14ac:dyDescent="0.25">
      <c r="B10" s="266"/>
      <c r="C10" s="254" t="s">
        <v>2</v>
      </c>
      <c r="D10" s="254"/>
      <c r="E10" s="8" t="s">
        <v>33</v>
      </c>
      <c r="F10" s="234">
        <v>0</v>
      </c>
      <c r="G10" s="234"/>
      <c r="H10" s="234"/>
      <c r="I10" s="234"/>
      <c r="J10" s="234">
        <v>0</v>
      </c>
      <c r="K10" s="234"/>
      <c r="L10" s="234"/>
      <c r="M10" s="234"/>
      <c r="N10" s="234">
        <v>0</v>
      </c>
      <c r="O10" s="234"/>
      <c r="P10" s="234"/>
      <c r="Q10" s="234"/>
      <c r="R10" s="234">
        <v>0</v>
      </c>
      <c r="S10" s="234"/>
      <c r="T10" s="234"/>
      <c r="U10" s="234"/>
      <c r="V10" s="234">
        <v>20</v>
      </c>
      <c r="W10" s="234"/>
      <c r="X10" s="234"/>
      <c r="Y10" s="234"/>
      <c r="Z10" s="234">
        <v>-9</v>
      </c>
      <c r="AA10" s="234"/>
      <c r="AB10" s="234"/>
      <c r="AC10" s="234"/>
      <c r="AD10" s="234">
        <v>-82</v>
      </c>
      <c r="AE10" s="234"/>
      <c r="AF10" s="234"/>
      <c r="AG10" s="235"/>
      <c r="AL10"/>
      <c r="AM10"/>
      <c r="AN10"/>
      <c r="AO10"/>
    </row>
    <row r="11" spans="2:59" ht="15.75" x14ac:dyDescent="0.25">
      <c r="B11" s="266"/>
      <c r="C11" s="254" t="s">
        <v>3</v>
      </c>
      <c r="D11" s="254"/>
      <c r="E11" s="8" t="s">
        <v>34</v>
      </c>
      <c r="F11" s="236">
        <f>F8+(F9/1000)</f>
        <v>30.021000000000001</v>
      </c>
      <c r="G11" s="236"/>
      <c r="H11" s="236"/>
      <c r="I11" s="236"/>
      <c r="J11" s="236">
        <f t="shared" ref="J11" si="0">J8+(J9/1000)</f>
        <v>30.033000000000001</v>
      </c>
      <c r="K11" s="236"/>
      <c r="L11" s="236"/>
      <c r="M11" s="236"/>
      <c r="N11" s="236">
        <f t="shared" ref="N11" si="1">N8+(N9/1000)</f>
        <v>40.024999999999999</v>
      </c>
      <c r="O11" s="236"/>
      <c r="P11" s="236"/>
      <c r="Q11" s="236"/>
      <c r="R11" s="236">
        <f t="shared" ref="R11" si="2">R8+(R9/1000)</f>
        <v>20.021000000000001</v>
      </c>
      <c r="S11" s="236"/>
      <c r="T11" s="236"/>
      <c r="U11" s="236"/>
      <c r="V11" s="236">
        <f t="shared" ref="V11" si="3">V8+(V9/1000)</f>
        <v>30.053000000000001</v>
      </c>
      <c r="W11" s="236"/>
      <c r="X11" s="236"/>
      <c r="Y11" s="236"/>
      <c r="Z11" s="236">
        <f t="shared" ref="Z11" si="4">Z8+(Z9/1000)</f>
        <v>30.012</v>
      </c>
      <c r="AA11" s="236"/>
      <c r="AB11" s="236"/>
      <c r="AC11" s="236"/>
      <c r="AD11" s="236">
        <f t="shared" ref="AD11" si="5">AD8+(AD9/1000)</f>
        <v>39.957000000000001</v>
      </c>
      <c r="AE11" s="236"/>
      <c r="AF11" s="236"/>
      <c r="AG11" s="237"/>
      <c r="AL11"/>
      <c r="AM11"/>
      <c r="AN11"/>
      <c r="AO11"/>
    </row>
    <row r="12" spans="2:59" ht="15.75" x14ac:dyDescent="0.25">
      <c r="B12" s="266"/>
      <c r="C12" s="254" t="s">
        <v>4</v>
      </c>
      <c r="D12" s="254"/>
      <c r="E12" s="9" t="s">
        <v>8</v>
      </c>
      <c r="F12" s="236">
        <f>F8+(F10/1000)</f>
        <v>30</v>
      </c>
      <c r="G12" s="236"/>
      <c r="H12" s="236"/>
      <c r="I12" s="236"/>
      <c r="J12" s="236">
        <f t="shared" ref="J12" si="6">J8+(J10/1000)</f>
        <v>30</v>
      </c>
      <c r="K12" s="236"/>
      <c r="L12" s="236"/>
      <c r="M12" s="236"/>
      <c r="N12" s="236">
        <f t="shared" ref="N12" si="7">N8+(N10/1000)</f>
        <v>40</v>
      </c>
      <c r="O12" s="236"/>
      <c r="P12" s="236"/>
      <c r="Q12" s="236"/>
      <c r="R12" s="236">
        <f t="shared" ref="R12" si="8">R8+(R10/1000)</f>
        <v>20</v>
      </c>
      <c r="S12" s="236"/>
      <c r="T12" s="236"/>
      <c r="U12" s="236"/>
      <c r="V12" s="236">
        <f t="shared" ref="V12" si="9">V8+(V10/1000)</f>
        <v>30.02</v>
      </c>
      <c r="W12" s="236"/>
      <c r="X12" s="236"/>
      <c r="Y12" s="236"/>
      <c r="Z12" s="236">
        <f t="shared" ref="Z12" si="10">Z8+(Z10/1000)</f>
        <v>29.991</v>
      </c>
      <c r="AA12" s="236"/>
      <c r="AB12" s="236"/>
      <c r="AC12" s="236"/>
      <c r="AD12" s="236">
        <f t="shared" ref="AD12" si="11">AD8+(AD10/1000)</f>
        <v>39.917999999999999</v>
      </c>
      <c r="AE12" s="236"/>
      <c r="AF12" s="236"/>
      <c r="AG12" s="237"/>
      <c r="AL12"/>
      <c r="AM12"/>
      <c r="AN12"/>
      <c r="AO12"/>
    </row>
    <row r="13" spans="2:59" ht="16.5" thickBot="1" x14ac:dyDescent="0.3">
      <c r="B13" s="266"/>
      <c r="C13" s="264" t="s">
        <v>5</v>
      </c>
      <c r="D13" s="264"/>
      <c r="E13" s="10" t="s">
        <v>35</v>
      </c>
      <c r="F13" s="259">
        <f>IF(OR(F9="",F10=""),"-       µm",F9-F10)</f>
        <v>21</v>
      </c>
      <c r="G13" s="259"/>
      <c r="H13" s="259"/>
      <c r="I13" s="259"/>
      <c r="J13" s="259">
        <f t="shared" ref="J13" si="12">IF(OR(J9="",J10=""),"-       µm",J9-J10)</f>
        <v>33</v>
      </c>
      <c r="K13" s="259"/>
      <c r="L13" s="259"/>
      <c r="M13" s="259"/>
      <c r="N13" s="259">
        <f t="shared" ref="N13" si="13">IF(OR(N9="",N10=""),"-       µm",N9-N10)</f>
        <v>25</v>
      </c>
      <c r="O13" s="259"/>
      <c r="P13" s="259"/>
      <c r="Q13" s="259"/>
      <c r="R13" s="259">
        <f t="shared" ref="R13" si="14">IF(OR(R9="",R10=""),"-       µm",R9-R10)</f>
        <v>21</v>
      </c>
      <c r="S13" s="259"/>
      <c r="T13" s="259"/>
      <c r="U13" s="259"/>
      <c r="V13" s="259">
        <f t="shared" ref="V13" si="15">IF(OR(V9="",V10=""),"-       µm",V9-V10)</f>
        <v>33</v>
      </c>
      <c r="W13" s="259"/>
      <c r="X13" s="259"/>
      <c r="Y13" s="259"/>
      <c r="Z13" s="259">
        <f t="shared" ref="Z13" si="16">IF(OR(Z9="",Z10=""),"-       µm",Z9-Z10)</f>
        <v>21</v>
      </c>
      <c r="AA13" s="259"/>
      <c r="AB13" s="259"/>
      <c r="AC13" s="259"/>
      <c r="AD13" s="259">
        <f t="shared" ref="AD13" si="17">IF(OR(AD9="",AD10=""),"-       µm",AD9-AD10)</f>
        <v>39</v>
      </c>
      <c r="AE13" s="259"/>
      <c r="AF13" s="259"/>
      <c r="AG13" s="260"/>
      <c r="AL13"/>
      <c r="AM13"/>
      <c r="AN13"/>
      <c r="AO13"/>
    </row>
    <row r="14" spans="2:59" ht="15.75" x14ac:dyDescent="0.25">
      <c r="B14" s="267" t="s">
        <v>7</v>
      </c>
      <c r="C14" s="253" t="s">
        <v>1</v>
      </c>
      <c r="D14" s="253"/>
      <c r="E14" s="11" t="s">
        <v>36</v>
      </c>
      <c r="F14" s="250">
        <v>28</v>
      </c>
      <c r="G14" s="251"/>
      <c r="H14" s="251"/>
      <c r="I14" s="252"/>
      <c r="J14" s="250">
        <v>-20</v>
      </c>
      <c r="K14" s="251"/>
      <c r="L14" s="251"/>
      <c r="M14" s="252"/>
      <c r="N14" s="256">
        <v>18</v>
      </c>
      <c r="O14" s="246"/>
      <c r="P14" s="246"/>
      <c r="Q14" s="246"/>
      <c r="R14" s="256">
        <v>48</v>
      </c>
      <c r="S14" s="246"/>
      <c r="T14" s="246"/>
      <c r="U14" s="246"/>
      <c r="V14" s="256">
        <v>0</v>
      </c>
      <c r="W14" s="246"/>
      <c r="X14" s="246"/>
      <c r="Y14" s="246"/>
      <c r="Z14" s="256">
        <v>0</v>
      </c>
      <c r="AA14" s="246"/>
      <c r="AB14" s="246"/>
      <c r="AC14" s="246"/>
      <c r="AD14" s="256">
        <v>0</v>
      </c>
      <c r="AE14" s="246"/>
      <c r="AF14" s="246"/>
      <c r="AG14" s="247"/>
      <c r="AL14"/>
      <c r="AM14"/>
      <c r="AN14"/>
      <c r="AO14"/>
    </row>
    <row r="15" spans="2:59" ht="15.75" x14ac:dyDescent="0.25">
      <c r="B15" s="266"/>
      <c r="C15" s="254" t="s">
        <v>2</v>
      </c>
      <c r="D15" s="254"/>
      <c r="E15" s="8" t="s">
        <v>37</v>
      </c>
      <c r="F15" s="234">
        <v>15</v>
      </c>
      <c r="G15" s="234"/>
      <c r="H15" s="234"/>
      <c r="I15" s="234"/>
      <c r="J15" s="234">
        <v>-41</v>
      </c>
      <c r="K15" s="234"/>
      <c r="L15" s="234"/>
      <c r="M15" s="234"/>
      <c r="N15" s="234">
        <v>2</v>
      </c>
      <c r="O15" s="234"/>
      <c r="P15" s="234"/>
      <c r="Q15" s="234"/>
      <c r="R15" s="234">
        <v>35</v>
      </c>
      <c r="S15" s="234"/>
      <c r="T15" s="234"/>
      <c r="U15" s="234"/>
      <c r="V15" s="234">
        <v>-52</v>
      </c>
      <c r="W15" s="234"/>
      <c r="X15" s="234"/>
      <c r="Y15" s="234"/>
      <c r="Z15" s="234">
        <v>-13</v>
      </c>
      <c r="AA15" s="234"/>
      <c r="AB15" s="234"/>
      <c r="AC15" s="234"/>
      <c r="AD15" s="234">
        <v>-16</v>
      </c>
      <c r="AE15" s="234"/>
      <c r="AF15" s="234"/>
      <c r="AG15" s="235"/>
      <c r="AL15"/>
      <c r="AM15"/>
      <c r="AN15"/>
      <c r="AO15"/>
    </row>
    <row r="16" spans="2:59" ht="15.75" x14ac:dyDescent="0.25">
      <c r="B16" s="266"/>
      <c r="C16" s="254" t="s">
        <v>3</v>
      </c>
      <c r="D16" s="254"/>
      <c r="E16" s="8" t="s">
        <v>38</v>
      </c>
      <c r="F16" s="236">
        <f>F8+(F14/1000)</f>
        <v>30.027999999999999</v>
      </c>
      <c r="G16" s="236"/>
      <c r="H16" s="236"/>
      <c r="I16" s="236"/>
      <c r="J16" s="236">
        <f t="shared" ref="J16" si="18">J8+(J14/1000)</f>
        <v>29.98</v>
      </c>
      <c r="K16" s="236"/>
      <c r="L16" s="236"/>
      <c r="M16" s="236"/>
      <c r="N16" s="236">
        <f t="shared" ref="N16" si="19">N8+(N14/1000)</f>
        <v>40.018000000000001</v>
      </c>
      <c r="O16" s="236"/>
      <c r="P16" s="236"/>
      <c r="Q16" s="236"/>
      <c r="R16" s="236">
        <f t="shared" ref="R16" si="20">R8+(R14/1000)</f>
        <v>20.047999999999998</v>
      </c>
      <c r="S16" s="236"/>
      <c r="T16" s="236"/>
      <c r="U16" s="236"/>
      <c r="V16" s="236">
        <f t="shared" ref="V16" si="21">V8+(V14/1000)</f>
        <v>30</v>
      </c>
      <c r="W16" s="236"/>
      <c r="X16" s="236"/>
      <c r="Y16" s="236"/>
      <c r="Z16" s="236">
        <f t="shared" ref="Z16" si="22">Z8+(Z14/1000)</f>
        <v>30</v>
      </c>
      <c r="AA16" s="236"/>
      <c r="AB16" s="236"/>
      <c r="AC16" s="236"/>
      <c r="AD16" s="236">
        <f t="shared" ref="AD16" si="23">AD8+(AD14/1000)</f>
        <v>40</v>
      </c>
      <c r="AE16" s="236"/>
      <c r="AF16" s="236"/>
      <c r="AG16" s="237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</row>
    <row r="17" spans="2:59" ht="15.75" x14ac:dyDescent="0.25">
      <c r="B17" s="266"/>
      <c r="C17" s="254" t="s">
        <v>4</v>
      </c>
      <c r="D17" s="254"/>
      <c r="E17" s="9" t="s">
        <v>9</v>
      </c>
      <c r="F17" s="236">
        <f>F8+(F15/1000)</f>
        <v>30.015000000000001</v>
      </c>
      <c r="G17" s="236"/>
      <c r="H17" s="236"/>
      <c r="I17" s="236"/>
      <c r="J17" s="236">
        <f t="shared" ref="J17" si="24">J8+(J15/1000)</f>
        <v>29.959</v>
      </c>
      <c r="K17" s="236"/>
      <c r="L17" s="236"/>
      <c r="M17" s="236"/>
      <c r="N17" s="236">
        <f t="shared" ref="N17" si="25">N8+(N15/1000)</f>
        <v>40.002000000000002</v>
      </c>
      <c r="O17" s="236"/>
      <c r="P17" s="236"/>
      <c r="Q17" s="236"/>
      <c r="R17" s="236">
        <f t="shared" ref="R17" si="26">R8+(R15/1000)</f>
        <v>20.035</v>
      </c>
      <c r="S17" s="236"/>
      <c r="T17" s="236"/>
      <c r="U17" s="236"/>
      <c r="V17" s="236">
        <f t="shared" ref="V17" si="27">V8+(V15/1000)</f>
        <v>29.948</v>
      </c>
      <c r="W17" s="236"/>
      <c r="X17" s="236"/>
      <c r="Y17" s="236"/>
      <c r="Z17" s="236">
        <f t="shared" ref="Z17" si="28">Z8+(Z15/1000)</f>
        <v>29.986999999999998</v>
      </c>
      <c r="AA17" s="236"/>
      <c r="AB17" s="236"/>
      <c r="AC17" s="236"/>
      <c r="AD17" s="236">
        <f t="shared" ref="AD17" si="29">AD8+(AD15/1000)</f>
        <v>39.984000000000002</v>
      </c>
      <c r="AE17" s="236"/>
      <c r="AF17" s="236"/>
      <c r="AG17" s="23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</row>
    <row r="18" spans="2:59" ht="16.5" thickBot="1" x14ac:dyDescent="0.3">
      <c r="B18" s="268"/>
      <c r="C18" s="255" t="s">
        <v>5</v>
      </c>
      <c r="D18" s="255"/>
      <c r="E18" s="12" t="s">
        <v>10</v>
      </c>
      <c r="F18" s="238">
        <f>IF(OR(F14="",F15=""),"-       µm",F14-F15)</f>
        <v>13</v>
      </c>
      <c r="G18" s="238"/>
      <c r="H18" s="238"/>
      <c r="I18" s="238"/>
      <c r="J18" s="238">
        <f t="shared" ref="J18" si="30">IF(OR(J14="",J15=""),"-       µm",J14-J15)</f>
        <v>21</v>
      </c>
      <c r="K18" s="238"/>
      <c r="L18" s="238"/>
      <c r="M18" s="238"/>
      <c r="N18" s="238">
        <f t="shared" ref="N18" si="31">IF(OR(N14="",N15=""),"-       µm",N14-N15)</f>
        <v>16</v>
      </c>
      <c r="O18" s="238"/>
      <c r="P18" s="238"/>
      <c r="Q18" s="238"/>
      <c r="R18" s="238">
        <f t="shared" ref="R18" si="32">IF(OR(R14="",R15=""),"-       µm",R14-R15)</f>
        <v>13</v>
      </c>
      <c r="S18" s="238"/>
      <c r="T18" s="238"/>
      <c r="U18" s="238"/>
      <c r="V18" s="238">
        <f t="shared" ref="V18" si="33">IF(OR(V14="",V15=""),"-       µm",V14-V15)</f>
        <v>52</v>
      </c>
      <c r="W18" s="238"/>
      <c r="X18" s="238"/>
      <c r="Y18" s="238"/>
      <c r="Z18" s="238">
        <f t="shared" ref="Z18" si="34">IF(OR(Z14="",Z15=""),"-       µm",Z14-Z15)</f>
        <v>13</v>
      </c>
      <c r="AA18" s="238"/>
      <c r="AB18" s="238"/>
      <c r="AC18" s="238"/>
      <c r="AD18" s="238">
        <f t="shared" ref="AD18" si="35">IF(OR(AD14="",AD15=""),"-       µm",AD14-AD15)</f>
        <v>16</v>
      </c>
      <c r="AE18" s="238"/>
      <c r="AF18" s="238"/>
      <c r="AG18" s="239"/>
    </row>
    <row r="19" spans="2:59" ht="15.75" thickBot="1" x14ac:dyDescent="0.3"/>
    <row r="20" spans="2:59" x14ac:dyDescent="0.25">
      <c r="C20" s="248" t="s">
        <v>28</v>
      </c>
      <c r="D20" s="249"/>
      <c r="E20" s="249"/>
      <c r="F20" s="246" t="s">
        <v>29</v>
      </c>
      <c r="G20" s="246"/>
      <c r="H20" s="246"/>
      <c r="I20" s="246"/>
      <c r="J20" s="246" t="s">
        <v>29</v>
      </c>
      <c r="K20" s="246"/>
      <c r="L20" s="246"/>
      <c r="M20" s="246"/>
      <c r="N20" s="246" t="s">
        <v>29</v>
      </c>
      <c r="O20" s="246"/>
      <c r="P20" s="246"/>
      <c r="Q20" s="246"/>
      <c r="R20" s="246" t="s">
        <v>29</v>
      </c>
      <c r="S20" s="246"/>
      <c r="T20" s="246"/>
      <c r="U20" s="246"/>
      <c r="V20" s="246" t="s">
        <v>42</v>
      </c>
      <c r="W20" s="246"/>
      <c r="X20" s="246"/>
      <c r="Y20" s="246"/>
      <c r="Z20" s="246" t="s">
        <v>42</v>
      </c>
      <c r="AA20" s="246"/>
      <c r="AB20" s="246"/>
      <c r="AC20" s="246"/>
      <c r="AD20" s="246" t="s">
        <v>42</v>
      </c>
      <c r="AE20" s="246"/>
      <c r="AF20" s="246"/>
      <c r="AG20" s="247"/>
    </row>
    <row r="21" spans="2:59" x14ac:dyDescent="0.25">
      <c r="C21" s="240" t="s">
        <v>30</v>
      </c>
      <c r="D21" s="241"/>
      <c r="E21" s="241"/>
      <c r="F21" s="223">
        <f>IF(F9-F15&lt;=0,"---",F9-F15)</f>
        <v>6</v>
      </c>
      <c r="G21" s="224"/>
      <c r="H21" s="224"/>
      <c r="I21" s="225"/>
      <c r="J21" s="223">
        <f t="shared" ref="J21" si="36">IF(J9-J15&lt;=0,"---",J9-J15)</f>
        <v>74</v>
      </c>
      <c r="K21" s="224"/>
      <c r="L21" s="224"/>
      <c r="M21" s="225"/>
      <c r="N21" s="223">
        <f t="shared" ref="N21" si="37">IF(N9-N15&lt;=0,"---",N9-N15)</f>
        <v>23</v>
      </c>
      <c r="O21" s="224"/>
      <c r="P21" s="224"/>
      <c r="Q21" s="225"/>
      <c r="R21" s="223" t="str">
        <f t="shared" ref="R21" si="38">IF(R9-R15&lt;=0,"---",R9-R15)</f>
        <v>---</v>
      </c>
      <c r="S21" s="224"/>
      <c r="T21" s="224"/>
      <c r="U21" s="225"/>
      <c r="V21" s="223">
        <f t="shared" ref="V21" si="39">IF(V9-V15&lt;=0,"---",V9-V15)</f>
        <v>105</v>
      </c>
      <c r="W21" s="224"/>
      <c r="X21" s="224"/>
      <c r="Y21" s="225"/>
      <c r="Z21" s="223">
        <f t="shared" ref="Z21" si="40">IF(Z9-Z15&lt;=0,"---",Z9-Z15)</f>
        <v>25</v>
      </c>
      <c r="AA21" s="224"/>
      <c r="AB21" s="224"/>
      <c r="AC21" s="225"/>
      <c r="AD21" s="223" t="str">
        <f t="shared" ref="AD21" si="41">IF(AD9-AD15&lt;=0,"---",AD9-AD15)</f>
        <v>---</v>
      </c>
      <c r="AE21" s="224"/>
      <c r="AF21" s="224"/>
      <c r="AG21" s="226"/>
    </row>
    <row r="22" spans="2:59" x14ac:dyDescent="0.25">
      <c r="C22" s="240" t="s">
        <v>39</v>
      </c>
      <c r="D22" s="241"/>
      <c r="E22" s="241"/>
      <c r="F22" s="223" t="str">
        <f>IF(F10-F14&lt;=0,"---",F10-F14)</f>
        <v>---</v>
      </c>
      <c r="G22" s="224"/>
      <c r="H22" s="224"/>
      <c r="I22" s="225"/>
      <c r="J22" s="223">
        <f t="shared" ref="J22" si="42">IF(J10-J14&lt;=0,"---",J10-J14)</f>
        <v>20</v>
      </c>
      <c r="K22" s="224"/>
      <c r="L22" s="224"/>
      <c r="M22" s="225"/>
      <c r="N22" s="223" t="str">
        <f t="shared" ref="N22" si="43">IF(N10-N14&lt;=0,"---",N10-N14)</f>
        <v>---</v>
      </c>
      <c r="O22" s="224"/>
      <c r="P22" s="224"/>
      <c r="Q22" s="225"/>
      <c r="R22" s="223" t="str">
        <f t="shared" ref="R22" si="44">IF(R10-R14&lt;=0,"---",R10-R14)</f>
        <v>---</v>
      </c>
      <c r="S22" s="224"/>
      <c r="T22" s="224"/>
      <c r="U22" s="225"/>
      <c r="V22" s="223">
        <f t="shared" ref="V22" si="45">IF(V10-V14&lt;=0,"---",V10-V14)</f>
        <v>20</v>
      </c>
      <c r="W22" s="224"/>
      <c r="X22" s="224"/>
      <c r="Y22" s="225"/>
      <c r="Z22" s="223" t="str">
        <f t="shared" ref="Z22" si="46">IF(Z10-Z14&lt;=0,"---",Z10-Z14)</f>
        <v>---</v>
      </c>
      <c r="AA22" s="224"/>
      <c r="AB22" s="224"/>
      <c r="AC22" s="225"/>
      <c r="AD22" s="223" t="str">
        <f t="shared" ref="AD22" si="47">IF(AD10-AD14&lt;=0,"---",AD10-AD14)</f>
        <v>---</v>
      </c>
      <c r="AE22" s="224"/>
      <c r="AF22" s="224"/>
      <c r="AG22" s="226"/>
    </row>
    <row r="23" spans="2:59" x14ac:dyDescent="0.25">
      <c r="C23" s="240" t="s">
        <v>40</v>
      </c>
      <c r="D23" s="241"/>
      <c r="E23" s="241"/>
      <c r="F23" s="227">
        <f>IF(F14-F10&lt;=0,"---",F14-F10)</f>
        <v>28</v>
      </c>
      <c r="G23" s="228"/>
      <c r="H23" s="228"/>
      <c r="I23" s="229"/>
      <c r="J23" s="227" t="str">
        <f t="shared" ref="J23" si="48">IF(J14-J10&lt;=0,"---",J14-J10)</f>
        <v>---</v>
      </c>
      <c r="K23" s="228"/>
      <c r="L23" s="228"/>
      <c r="M23" s="229"/>
      <c r="N23" s="227">
        <f t="shared" ref="N23" si="49">IF(N14-N10&lt;=0,"---",N14-N10)</f>
        <v>18</v>
      </c>
      <c r="O23" s="228"/>
      <c r="P23" s="228"/>
      <c r="Q23" s="229"/>
      <c r="R23" s="227">
        <f t="shared" ref="R23" si="50">IF(R14-R10&lt;=0,"---",R14-R10)</f>
        <v>48</v>
      </c>
      <c r="S23" s="228"/>
      <c r="T23" s="228"/>
      <c r="U23" s="229"/>
      <c r="V23" s="227" t="str">
        <f t="shared" ref="V23" si="51">IF(V14-V10&lt;=0,"---",V14-V10)</f>
        <v>---</v>
      </c>
      <c r="W23" s="228"/>
      <c r="X23" s="228"/>
      <c r="Y23" s="229"/>
      <c r="Z23" s="227">
        <f t="shared" ref="Z23" si="52">IF(Z14-Z10&lt;=0,"---",Z14-Z10)</f>
        <v>9</v>
      </c>
      <c r="AA23" s="228"/>
      <c r="AB23" s="228"/>
      <c r="AC23" s="229"/>
      <c r="AD23" s="227">
        <f t="shared" ref="AD23" si="53">IF(AD14-AD10&lt;=0,"---",AD14-AD10)</f>
        <v>82</v>
      </c>
      <c r="AE23" s="228"/>
      <c r="AF23" s="228"/>
      <c r="AG23" s="230"/>
    </row>
    <row r="24" spans="2:59" ht="15.75" thickBot="1" x14ac:dyDescent="0.3">
      <c r="C24" s="242" t="s">
        <v>41</v>
      </c>
      <c r="D24" s="243"/>
      <c r="E24" s="243"/>
      <c r="F24" s="219" t="str">
        <f>IF(F15-F9&lt;=0,"---",F15-F9)</f>
        <v>---</v>
      </c>
      <c r="G24" s="220"/>
      <c r="H24" s="220"/>
      <c r="I24" s="221"/>
      <c r="J24" s="219" t="str">
        <f>IF(J15-J9&lt;=0,"---",J15-J9)</f>
        <v>---</v>
      </c>
      <c r="K24" s="220"/>
      <c r="L24" s="220"/>
      <c r="M24" s="221"/>
      <c r="N24" s="219" t="str">
        <f>IF(N15-N9&lt;=0,"---",N15-N9)</f>
        <v>---</v>
      </c>
      <c r="O24" s="220"/>
      <c r="P24" s="220"/>
      <c r="Q24" s="221"/>
      <c r="R24" s="219">
        <f>IF(R15-R9&lt;=0,"---",R15-R9)</f>
        <v>14</v>
      </c>
      <c r="S24" s="220"/>
      <c r="T24" s="220"/>
      <c r="U24" s="221"/>
      <c r="V24" s="219" t="str">
        <f>IF(V15-V9&lt;=0,"---",V15-V9)</f>
        <v>---</v>
      </c>
      <c r="W24" s="220"/>
      <c r="X24" s="220"/>
      <c r="Y24" s="221"/>
      <c r="Z24" s="219" t="str">
        <f>IF(Z15-Z9&lt;=0,"---",Z15-Z9)</f>
        <v>---</v>
      </c>
      <c r="AA24" s="220"/>
      <c r="AB24" s="220"/>
      <c r="AC24" s="221"/>
      <c r="AD24" s="219">
        <f>IF(AD15-AD9&lt;=0,"---",AD15-AD9)</f>
        <v>27</v>
      </c>
      <c r="AE24" s="220"/>
      <c r="AF24" s="220"/>
      <c r="AG24" s="222"/>
    </row>
    <row r="25" spans="2:59" ht="15.75" thickBot="1" x14ac:dyDescent="0.3">
      <c r="C25" s="244" t="s">
        <v>31</v>
      </c>
      <c r="D25" s="245"/>
      <c r="E25" s="245"/>
      <c r="F25" s="217" t="str">
        <f>_xlfn.IFS(F10-F14&gt;=0,"Spiel",F15-F9&gt;=0,"Übermaß",F14-F10&gt;=0,"Übergang",TRUE,"ERROR")</f>
        <v>Übergang</v>
      </c>
      <c r="G25" s="217"/>
      <c r="H25" s="217"/>
      <c r="I25" s="217"/>
      <c r="J25" s="217" t="str">
        <f>_xlfn.IFS(J10-J14&gt;=0,"Spiel",J15-J9&gt;=0,"Übermaß",J14-J10&gt;=0,"Übergang",TRUE,"ERROR")</f>
        <v>Spiel</v>
      </c>
      <c r="K25" s="217"/>
      <c r="L25" s="217"/>
      <c r="M25" s="217"/>
      <c r="N25" s="217" t="str">
        <f>_xlfn.IFS(N10-N14&gt;=0,"Spiel",N15-N9&gt;=0,"Übermaß",N14-N10&gt;=0,"Übergang",TRUE,"ERROR")</f>
        <v>Übergang</v>
      </c>
      <c r="O25" s="217"/>
      <c r="P25" s="217"/>
      <c r="Q25" s="217"/>
      <c r="R25" s="217" t="str">
        <f>_xlfn.IFS(R10-R14&gt;=0,"Spiel",R15-R9&gt;=0,"Übermaß",R14-R10&gt;=0,"Übergang",TRUE,"ERROR")</f>
        <v>Übermaß</v>
      </c>
      <c r="S25" s="217"/>
      <c r="T25" s="217"/>
      <c r="U25" s="217"/>
      <c r="V25" s="217" t="str">
        <f>_xlfn.IFS(V10-V14&gt;=0,"Spiel",V15-V9&gt;=0,"Übermaß",V14-V10&gt;=0,"Übergang",TRUE,"ERROR")</f>
        <v>Spiel</v>
      </c>
      <c r="W25" s="217"/>
      <c r="X25" s="217"/>
      <c r="Y25" s="217"/>
      <c r="Z25" s="217" t="str">
        <f>_xlfn.IFS(Z10-Z14&gt;=0,"Spiel",Z15-Z9&gt;=0,"Übermaß",Z14-Z10&gt;=0,"Übergang",TRUE,"ERROR")</f>
        <v>Übergang</v>
      </c>
      <c r="AA25" s="217"/>
      <c r="AB25" s="217"/>
      <c r="AC25" s="217"/>
      <c r="AD25" s="217" t="str">
        <f>_xlfn.IFS(AD10-AD14&gt;=0,"Spiel",AD15-AD9&gt;=0,"Übermaß",AD14-AD10&gt;=0,"Übergang",TRUE,"ERROR")</f>
        <v>Übermaß</v>
      </c>
      <c r="AE25" s="217"/>
      <c r="AF25" s="217"/>
      <c r="AG25" s="218"/>
    </row>
    <row r="26" spans="2:59" ht="15.75" thickBot="1" x14ac:dyDescent="0.3"/>
    <row r="27" spans="2:59" ht="15.75" thickBot="1" x14ac:dyDescent="0.3">
      <c r="C27" s="231" t="s">
        <v>23</v>
      </c>
      <c r="D27" s="232"/>
      <c r="E27" s="233"/>
    </row>
    <row r="28" spans="2:59" ht="15.75" thickBot="1" x14ac:dyDescent="0.3">
      <c r="C28" s="2"/>
      <c r="D28" s="3" t="s">
        <v>22</v>
      </c>
      <c r="E28" s="4"/>
    </row>
    <row r="29" spans="2:59" ht="15.75" thickBot="1" x14ac:dyDescent="0.3">
      <c r="C29" s="5"/>
      <c r="D29" s="3" t="s">
        <v>24</v>
      </c>
      <c r="E29" s="4"/>
    </row>
    <row r="33" spans="3:3" x14ac:dyDescent="0.25">
      <c r="C33" t="s">
        <v>44</v>
      </c>
    </row>
    <row r="34" spans="3:3" x14ac:dyDescent="0.25">
      <c r="C34" t="s">
        <v>45</v>
      </c>
    </row>
    <row r="35" spans="3:3" x14ac:dyDescent="0.25">
      <c r="C35" t="s">
        <v>46</v>
      </c>
    </row>
  </sheetData>
  <sheetProtection sheet="1" objects="1" scenarios="1"/>
  <mergeCells count="132">
    <mergeCell ref="Z9:AC9"/>
    <mergeCell ref="Z10:AC10"/>
    <mergeCell ref="B9:B13"/>
    <mergeCell ref="B14:B18"/>
    <mergeCell ref="J15:M15"/>
    <mergeCell ref="J16:M16"/>
    <mergeCell ref="J17:M17"/>
    <mergeCell ref="J18:M18"/>
    <mergeCell ref="V9:Y9"/>
    <mergeCell ref="V10:Y10"/>
    <mergeCell ref="V11:Y11"/>
    <mergeCell ref="V12:Y12"/>
    <mergeCell ref="V13:Y13"/>
    <mergeCell ref="N9:Q9"/>
    <mergeCell ref="B8:E8"/>
    <mergeCell ref="F14:I14"/>
    <mergeCell ref="F15:I15"/>
    <mergeCell ref="F16:I16"/>
    <mergeCell ref="F17:I17"/>
    <mergeCell ref="F18:I18"/>
    <mergeCell ref="J9:M9"/>
    <mergeCell ref="J10:M10"/>
    <mergeCell ref="J11:M11"/>
    <mergeCell ref="J12:M12"/>
    <mergeCell ref="J13:M13"/>
    <mergeCell ref="F9:I9"/>
    <mergeCell ref="F10:I10"/>
    <mergeCell ref="F11:I11"/>
    <mergeCell ref="F12:I12"/>
    <mergeCell ref="F13:I13"/>
    <mergeCell ref="C10:D10"/>
    <mergeCell ref="C11:D11"/>
    <mergeCell ref="C12:D12"/>
    <mergeCell ref="C13:D13"/>
    <mergeCell ref="C9:D9"/>
    <mergeCell ref="AD14:AG14"/>
    <mergeCell ref="V15:Y15"/>
    <mergeCell ref="V16:Y16"/>
    <mergeCell ref="AD9:AG9"/>
    <mergeCell ref="AD10:AG10"/>
    <mergeCell ref="AD11:AG11"/>
    <mergeCell ref="AD12:AG12"/>
    <mergeCell ref="AD13:AG13"/>
    <mergeCell ref="N15:Q15"/>
    <mergeCell ref="N16:Q16"/>
    <mergeCell ref="R9:U9"/>
    <mergeCell ref="R10:U10"/>
    <mergeCell ref="R11:U11"/>
    <mergeCell ref="R12:U12"/>
    <mergeCell ref="R13:U13"/>
    <mergeCell ref="R14:U14"/>
    <mergeCell ref="N10:Q10"/>
    <mergeCell ref="N11:Q11"/>
    <mergeCell ref="N12:Q12"/>
    <mergeCell ref="N13:Q13"/>
    <mergeCell ref="Z11:AC11"/>
    <mergeCell ref="Z12:AC12"/>
    <mergeCell ref="Z13:AC13"/>
    <mergeCell ref="Z14:AC14"/>
    <mergeCell ref="C20:E20"/>
    <mergeCell ref="F20:I20"/>
    <mergeCell ref="J20:M20"/>
    <mergeCell ref="N20:Q20"/>
    <mergeCell ref="R20:U20"/>
    <mergeCell ref="J14:M14"/>
    <mergeCell ref="V17:Y17"/>
    <mergeCell ref="C14:D14"/>
    <mergeCell ref="C15:D15"/>
    <mergeCell ref="C16:D16"/>
    <mergeCell ref="C17:D17"/>
    <mergeCell ref="V18:Y18"/>
    <mergeCell ref="R15:U15"/>
    <mergeCell ref="R16:U16"/>
    <mergeCell ref="C18:D18"/>
    <mergeCell ref="V14:Y14"/>
    <mergeCell ref="N17:Q17"/>
    <mergeCell ref="N18:Q18"/>
    <mergeCell ref="R17:U17"/>
    <mergeCell ref="R18:U18"/>
    <mergeCell ref="N14:Q14"/>
    <mergeCell ref="C27:E27"/>
    <mergeCell ref="AD15:AG15"/>
    <mergeCell ref="AD16:AG16"/>
    <mergeCell ref="AD17:AG17"/>
    <mergeCell ref="AD18:AG18"/>
    <mergeCell ref="Z15:AC15"/>
    <mergeCell ref="Z16:AC16"/>
    <mergeCell ref="Z17:AC17"/>
    <mergeCell ref="Z18:AC18"/>
    <mergeCell ref="C21:E21"/>
    <mergeCell ref="F21:I21"/>
    <mergeCell ref="F22:I22"/>
    <mergeCell ref="F23:I23"/>
    <mergeCell ref="F24:I24"/>
    <mergeCell ref="F25:I25"/>
    <mergeCell ref="C22:E22"/>
    <mergeCell ref="C23:E23"/>
    <mergeCell ref="C24:E24"/>
    <mergeCell ref="C25:E25"/>
    <mergeCell ref="V20:Y20"/>
    <mergeCell ref="Z20:AC20"/>
    <mergeCell ref="AD20:AG20"/>
    <mergeCell ref="J21:M21"/>
    <mergeCell ref="N21:Q21"/>
    <mergeCell ref="R21:U21"/>
    <mergeCell ref="V21:Y21"/>
    <mergeCell ref="Z21:AC21"/>
    <mergeCell ref="AD21:AG21"/>
    <mergeCell ref="J23:M23"/>
    <mergeCell ref="N23:Q23"/>
    <mergeCell ref="R23:U23"/>
    <mergeCell ref="V23:Y23"/>
    <mergeCell ref="Z23:AC23"/>
    <mergeCell ref="AD23:AG23"/>
    <mergeCell ref="J22:M22"/>
    <mergeCell ref="N22:Q22"/>
    <mergeCell ref="R22:U22"/>
    <mergeCell ref="V22:Y22"/>
    <mergeCell ref="Z22:AC22"/>
    <mergeCell ref="AD22:AG22"/>
    <mergeCell ref="J25:M25"/>
    <mergeCell ref="N25:Q25"/>
    <mergeCell ref="R25:U25"/>
    <mergeCell ref="V25:Y25"/>
    <mergeCell ref="Z25:AC25"/>
    <mergeCell ref="AD25:AG25"/>
    <mergeCell ref="J24:M24"/>
    <mergeCell ref="N24:Q24"/>
    <mergeCell ref="R24:U24"/>
    <mergeCell ref="V24:Y24"/>
    <mergeCell ref="Z24:AC24"/>
    <mergeCell ref="AD24:AG24"/>
  </mergeCells>
  <hyperlinks>
    <hyperlink ref="D3" r:id="rId1" xr:uid="{B28D94A1-F7F2-411A-AEB9-0A5ED44E20E7}"/>
  </hyperlinks>
  <pageMargins left="0.7" right="0.7" top="0.75" bottom="0.75" header="0.3" footer="0.3"/>
  <pageSetup paperSize="9" orientation="portrait" horizontalDpi="4294967293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A3EA3-3E3E-4618-8D2D-C80E8731654F}">
  <dimension ref="A1:AE119"/>
  <sheetViews>
    <sheetView topLeftCell="D28" workbookViewId="0">
      <selection activeCell="M54" sqref="M54"/>
    </sheetView>
  </sheetViews>
  <sheetFormatPr baseColWidth="10" defaultRowHeight="15" x14ac:dyDescent="0.25"/>
  <cols>
    <col min="1" max="1" width="17.42578125" customWidth="1"/>
  </cols>
  <sheetData>
    <row r="1" spans="1:19" ht="15.75" thickBot="1" x14ac:dyDescent="0.3"/>
    <row r="2" spans="1:19" ht="30" customHeight="1" x14ac:dyDescent="0.25">
      <c r="A2" s="310" t="s">
        <v>74</v>
      </c>
      <c r="B2" s="314" t="s">
        <v>66</v>
      </c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314"/>
      <c r="S2" s="315"/>
    </row>
    <row r="3" spans="1:19" ht="15.75" thickBot="1" x14ac:dyDescent="0.3">
      <c r="A3" s="311"/>
      <c r="B3" s="23" t="s">
        <v>48</v>
      </c>
      <c r="C3" s="20" t="s">
        <v>49</v>
      </c>
      <c r="D3" s="20" t="s">
        <v>50</v>
      </c>
      <c r="E3" s="20" t="s">
        <v>51</v>
      </c>
      <c r="F3" s="20" t="s">
        <v>52</v>
      </c>
      <c r="G3" s="20" t="s">
        <v>53</v>
      </c>
      <c r="H3" s="20" t="s">
        <v>54</v>
      </c>
      <c r="I3" s="20" t="s">
        <v>55</v>
      </c>
      <c r="J3" s="20" t="s">
        <v>56</v>
      </c>
      <c r="K3" s="20" t="s">
        <v>57</v>
      </c>
      <c r="L3" s="20" t="s">
        <v>58</v>
      </c>
      <c r="M3" s="20" t="s">
        <v>59</v>
      </c>
      <c r="N3" s="20" t="s">
        <v>60</v>
      </c>
      <c r="O3" s="20" t="s">
        <v>61</v>
      </c>
      <c r="P3" s="20" t="s">
        <v>62</v>
      </c>
      <c r="Q3" s="20" t="s">
        <v>63</v>
      </c>
      <c r="R3" s="20" t="s">
        <v>64</v>
      </c>
      <c r="S3" s="21" t="s">
        <v>65</v>
      </c>
    </row>
    <row r="4" spans="1:19" x14ac:dyDescent="0.25">
      <c r="A4" s="311"/>
      <c r="B4" s="331" t="s">
        <v>68</v>
      </c>
      <c r="C4" s="331"/>
      <c r="D4" s="331"/>
      <c r="E4" s="331"/>
      <c r="F4" s="331"/>
      <c r="G4" s="331"/>
      <c r="H4" s="331"/>
      <c r="I4" s="331"/>
      <c r="J4" s="331"/>
      <c r="K4" s="331"/>
      <c r="L4" s="331"/>
      <c r="M4" s="331"/>
      <c r="N4" s="331"/>
      <c r="O4" s="331"/>
      <c r="P4" s="331"/>
      <c r="Q4" s="331"/>
      <c r="R4" s="331"/>
      <c r="S4" s="332"/>
    </row>
    <row r="5" spans="1:19" x14ac:dyDescent="0.25">
      <c r="A5" s="311"/>
      <c r="B5" s="331" t="s">
        <v>67</v>
      </c>
      <c r="C5" s="331"/>
      <c r="D5" s="331"/>
      <c r="E5" s="331"/>
      <c r="F5" s="331"/>
      <c r="G5" s="331"/>
      <c r="H5" s="331"/>
      <c r="I5" s="331"/>
      <c r="J5" s="331"/>
      <c r="K5" s="331"/>
      <c r="L5" s="331"/>
      <c r="M5" s="333" t="s">
        <v>202</v>
      </c>
      <c r="N5" s="331"/>
      <c r="O5" s="331"/>
      <c r="P5" s="331"/>
      <c r="Q5" s="331"/>
      <c r="R5" s="331"/>
      <c r="S5" s="332"/>
    </row>
    <row r="6" spans="1:19" x14ac:dyDescent="0.25">
      <c r="A6" s="24" t="s">
        <v>69</v>
      </c>
      <c r="B6" s="27">
        <v>0.8</v>
      </c>
      <c r="C6" s="22">
        <v>1.2</v>
      </c>
      <c r="D6" s="22">
        <v>2</v>
      </c>
      <c r="E6" s="22">
        <v>3</v>
      </c>
      <c r="F6" s="22">
        <v>4</v>
      </c>
      <c r="G6" s="22">
        <v>6</v>
      </c>
      <c r="H6" s="22">
        <v>10</v>
      </c>
      <c r="I6" s="22">
        <v>14</v>
      </c>
      <c r="J6" s="22">
        <v>25</v>
      </c>
      <c r="K6" s="22">
        <v>40</v>
      </c>
      <c r="L6" s="22">
        <v>60</v>
      </c>
      <c r="M6" s="22">
        <f>0.1*1000</f>
        <v>100</v>
      </c>
      <c r="N6" s="22">
        <f>0.14*1000</f>
        <v>140</v>
      </c>
      <c r="O6" s="22">
        <f>0.25*1000</f>
        <v>250</v>
      </c>
      <c r="P6" s="22">
        <f>0.4*1000</f>
        <v>400</v>
      </c>
      <c r="Q6" s="22">
        <f>0.6*1000</f>
        <v>600</v>
      </c>
      <c r="R6" s="22">
        <f>1*1000</f>
        <v>1000</v>
      </c>
      <c r="S6" s="28">
        <f>1.4*1000</f>
        <v>1400</v>
      </c>
    </row>
    <row r="7" spans="1:19" x14ac:dyDescent="0.25">
      <c r="A7" s="24" t="s">
        <v>70</v>
      </c>
      <c r="B7" s="27">
        <v>1</v>
      </c>
      <c r="C7" s="22">
        <v>1.5</v>
      </c>
      <c r="D7" s="22">
        <v>2.5</v>
      </c>
      <c r="E7" s="22">
        <v>4</v>
      </c>
      <c r="F7" s="22">
        <v>5</v>
      </c>
      <c r="G7" s="22">
        <v>8</v>
      </c>
      <c r="H7" s="22">
        <v>12</v>
      </c>
      <c r="I7" s="22">
        <v>18</v>
      </c>
      <c r="J7" s="22">
        <v>30</v>
      </c>
      <c r="K7" s="22">
        <v>48</v>
      </c>
      <c r="L7" s="22">
        <v>75</v>
      </c>
      <c r="M7" s="22">
        <f>0.12*1000</f>
        <v>120</v>
      </c>
      <c r="N7" s="22">
        <f>0.18*1000</f>
        <v>180</v>
      </c>
      <c r="O7" s="22">
        <f>0.3*1000</f>
        <v>300</v>
      </c>
      <c r="P7" s="22">
        <f>0.48*1000</f>
        <v>480</v>
      </c>
      <c r="Q7" s="22">
        <f>0.75*1000</f>
        <v>750</v>
      </c>
      <c r="R7" s="22">
        <f>1.2*1000</f>
        <v>1200</v>
      </c>
      <c r="S7" s="28">
        <f>1.8*1000</f>
        <v>1800</v>
      </c>
    </row>
    <row r="8" spans="1:19" x14ac:dyDescent="0.25">
      <c r="A8" s="24" t="s">
        <v>71</v>
      </c>
      <c r="B8" s="27">
        <v>1</v>
      </c>
      <c r="C8" s="22">
        <v>1.5</v>
      </c>
      <c r="D8" s="22">
        <v>2.5</v>
      </c>
      <c r="E8" s="22">
        <v>4</v>
      </c>
      <c r="F8" s="22">
        <v>6</v>
      </c>
      <c r="G8" s="22">
        <v>9</v>
      </c>
      <c r="H8" s="22">
        <v>15</v>
      </c>
      <c r="I8" s="22">
        <v>22</v>
      </c>
      <c r="J8" s="22">
        <v>36</v>
      </c>
      <c r="K8" s="22">
        <v>58</v>
      </c>
      <c r="L8" s="22">
        <v>90</v>
      </c>
      <c r="M8" s="22">
        <f>0.15*1000</f>
        <v>150</v>
      </c>
      <c r="N8" s="22">
        <f>0.22*1000</f>
        <v>220</v>
      </c>
      <c r="O8" s="22">
        <f>0.36*1000</f>
        <v>360</v>
      </c>
      <c r="P8" s="22">
        <f>0.58*1000</f>
        <v>580</v>
      </c>
      <c r="Q8" s="22">
        <f>0.9*1000</f>
        <v>900</v>
      </c>
      <c r="R8" s="22">
        <f>1.5*1000</f>
        <v>1500</v>
      </c>
      <c r="S8" s="28">
        <f>2.2*1000</f>
        <v>2200</v>
      </c>
    </row>
    <row r="9" spans="1:19" x14ac:dyDescent="0.25">
      <c r="A9" s="24" t="s">
        <v>72</v>
      </c>
      <c r="B9" s="27">
        <v>1.2</v>
      </c>
      <c r="C9" s="22">
        <v>2</v>
      </c>
      <c r="D9" s="22">
        <v>3</v>
      </c>
      <c r="E9" s="22">
        <v>5</v>
      </c>
      <c r="F9" s="22">
        <v>8</v>
      </c>
      <c r="G9" s="22">
        <v>11</v>
      </c>
      <c r="H9" s="22">
        <v>18</v>
      </c>
      <c r="I9" s="22">
        <v>27</v>
      </c>
      <c r="J9" s="22">
        <v>43</v>
      </c>
      <c r="K9" s="22">
        <v>70</v>
      </c>
      <c r="L9" s="22">
        <v>110</v>
      </c>
      <c r="M9" s="22">
        <f>0.18*1000</f>
        <v>180</v>
      </c>
      <c r="N9" s="22">
        <f>0.27*1000</f>
        <v>270</v>
      </c>
      <c r="O9" s="22">
        <f>0.43*1000</f>
        <v>430</v>
      </c>
      <c r="P9" s="22">
        <f>0.7*1000</f>
        <v>700</v>
      </c>
      <c r="Q9" s="22">
        <f>1.1*1000</f>
        <v>1100</v>
      </c>
      <c r="R9" s="22">
        <f>1.8*1000</f>
        <v>1800</v>
      </c>
      <c r="S9" s="28">
        <f>2.7*1000</f>
        <v>2700</v>
      </c>
    </row>
    <row r="10" spans="1:19" x14ac:dyDescent="0.25">
      <c r="A10" s="24" t="s">
        <v>73</v>
      </c>
      <c r="B10" s="27">
        <v>1.5</v>
      </c>
      <c r="C10" s="22">
        <v>2.5</v>
      </c>
      <c r="D10" s="22">
        <v>4</v>
      </c>
      <c r="E10" s="22">
        <v>6</v>
      </c>
      <c r="F10" s="22">
        <v>9</v>
      </c>
      <c r="G10" s="22">
        <v>13</v>
      </c>
      <c r="H10" s="22">
        <v>21</v>
      </c>
      <c r="I10" s="22">
        <v>33</v>
      </c>
      <c r="J10" s="22">
        <v>52</v>
      </c>
      <c r="K10" s="22">
        <v>84</v>
      </c>
      <c r="L10" s="22">
        <v>130</v>
      </c>
      <c r="M10" s="22">
        <f>0.21*1000</f>
        <v>210</v>
      </c>
      <c r="N10" s="22">
        <f>0.33*1000</f>
        <v>330</v>
      </c>
      <c r="O10" s="22">
        <f>0.52*1000</f>
        <v>520</v>
      </c>
      <c r="P10" s="22">
        <f>0.84*1000</f>
        <v>840</v>
      </c>
      <c r="Q10" s="22">
        <f>1.3*1000</f>
        <v>1300</v>
      </c>
      <c r="R10" s="22">
        <f>2.1*1000</f>
        <v>2100</v>
      </c>
      <c r="S10" s="28">
        <f>3.3*1000</f>
        <v>3300</v>
      </c>
    </row>
    <row r="11" spans="1:19" x14ac:dyDescent="0.25">
      <c r="A11" s="24" t="s">
        <v>75</v>
      </c>
      <c r="B11" s="27">
        <v>1.5</v>
      </c>
      <c r="C11" s="22">
        <v>2.5</v>
      </c>
      <c r="D11" s="22">
        <v>5</v>
      </c>
      <c r="E11" s="22">
        <v>7</v>
      </c>
      <c r="F11" s="22">
        <v>11</v>
      </c>
      <c r="G11" s="22">
        <v>16</v>
      </c>
      <c r="H11" s="22">
        <v>25</v>
      </c>
      <c r="I11" s="22">
        <v>39</v>
      </c>
      <c r="J11" s="22">
        <v>62</v>
      </c>
      <c r="K11" s="22">
        <v>100</v>
      </c>
      <c r="L11" s="22">
        <v>160</v>
      </c>
      <c r="M11" s="22">
        <f>0.25*1000</f>
        <v>250</v>
      </c>
      <c r="N11" s="22">
        <f>0.39*1000</f>
        <v>390</v>
      </c>
      <c r="O11" s="22">
        <f>0.62*1000</f>
        <v>620</v>
      </c>
      <c r="P11" s="22">
        <f>1*1000</f>
        <v>1000</v>
      </c>
      <c r="Q11" s="22">
        <f>1.6*1000</f>
        <v>1600</v>
      </c>
      <c r="R11" s="22">
        <f>2.5*1000</f>
        <v>2500</v>
      </c>
      <c r="S11" s="28">
        <f>3.9*1000</f>
        <v>3900</v>
      </c>
    </row>
    <row r="12" spans="1:19" x14ac:dyDescent="0.25">
      <c r="A12" s="24" t="s">
        <v>76</v>
      </c>
      <c r="B12" s="27">
        <v>2</v>
      </c>
      <c r="C12" s="22">
        <v>3</v>
      </c>
      <c r="D12" s="22">
        <v>6</v>
      </c>
      <c r="E12" s="22">
        <v>8</v>
      </c>
      <c r="F12" s="22">
        <v>13</v>
      </c>
      <c r="G12" s="22">
        <v>19</v>
      </c>
      <c r="H12" s="22">
        <v>30</v>
      </c>
      <c r="I12" s="22">
        <v>46</v>
      </c>
      <c r="J12" s="22">
        <v>74</v>
      </c>
      <c r="K12" s="22">
        <v>120</v>
      </c>
      <c r="L12" s="22">
        <v>190</v>
      </c>
      <c r="M12" s="22">
        <f>0.3*1000</f>
        <v>300</v>
      </c>
      <c r="N12" s="22">
        <f>0.46*1000</f>
        <v>460</v>
      </c>
      <c r="O12" s="22">
        <f>0.74*1000</f>
        <v>740</v>
      </c>
      <c r="P12" s="22">
        <f>1.2*1000</f>
        <v>1200</v>
      </c>
      <c r="Q12" s="22">
        <f>1.9*1000</f>
        <v>1900</v>
      </c>
      <c r="R12" s="22">
        <f>3*1000</f>
        <v>3000</v>
      </c>
      <c r="S12" s="28">
        <f>4.6*1000</f>
        <v>4600</v>
      </c>
    </row>
    <row r="13" spans="1:19" x14ac:dyDescent="0.25">
      <c r="A13" s="24" t="s">
        <v>77</v>
      </c>
      <c r="B13" s="27">
        <v>2.5</v>
      </c>
      <c r="C13" s="22">
        <v>4</v>
      </c>
      <c r="D13" s="22">
        <v>7</v>
      </c>
      <c r="E13" s="22">
        <v>10</v>
      </c>
      <c r="F13" s="22">
        <v>15</v>
      </c>
      <c r="G13" s="22">
        <v>22</v>
      </c>
      <c r="H13" s="22">
        <v>35</v>
      </c>
      <c r="I13" s="22">
        <v>54</v>
      </c>
      <c r="J13" s="22">
        <v>87</v>
      </c>
      <c r="K13" s="22">
        <v>140</v>
      </c>
      <c r="L13" s="22">
        <v>220</v>
      </c>
      <c r="M13" s="22">
        <f>0.35*1000</f>
        <v>350</v>
      </c>
      <c r="N13" s="22">
        <f>0.54*1000</f>
        <v>540</v>
      </c>
      <c r="O13" s="22">
        <f>0.87*1000</f>
        <v>870</v>
      </c>
      <c r="P13" s="22">
        <f>1.4*1000</f>
        <v>1400</v>
      </c>
      <c r="Q13" s="22">
        <f>2.2*1000</f>
        <v>2200</v>
      </c>
      <c r="R13" s="22">
        <f>3.5*1000</f>
        <v>3500</v>
      </c>
      <c r="S13" s="28">
        <f>5.4*1000</f>
        <v>5400</v>
      </c>
    </row>
    <row r="14" spans="1:19" x14ac:dyDescent="0.25">
      <c r="A14" s="24" t="s">
        <v>78</v>
      </c>
      <c r="B14" s="27">
        <v>3.5</v>
      </c>
      <c r="C14" s="22">
        <v>5</v>
      </c>
      <c r="D14" s="22">
        <v>8</v>
      </c>
      <c r="E14" s="22">
        <v>12</v>
      </c>
      <c r="F14" s="22">
        <v>18</v>
      </c>
      <c r="G14" s="22">
        <v>25</v>
      </c>
      <c r="H14" s="22">
        <v>40</v>
      </c>
      <c r="I14" s="22">
        <v>63</v>
      </c>
      <c r="J14" s="22">
        <v>100</v>
      </c>
      <c r="K14" s="22">
        <v>160</v>
      </c>
      <c r="L14" s="22">
        <v>250</v>
      </c>
      <c r="M14" s="22">
        <f>0.4*1000</f>
        <v>400</v>
      </c>
      <c r="N14" s="22">
        <f>0.63*1000</f>
        <v>630</v>
      </c>
      <c r="O14" s="22">
        <f>1*1000</f>
        <v>1000</v>
      </c>
      <c r="P14" s="22">
        <f>1.6*1000</f>
        <v>1600</v>
      </c>
      <c r="Q14" s="22">
        <f>2.5*1000</f>
        <v>2500</v>
      </c>
      <c r="R14" s="22">
        <f>4*1000</f>
        <v>4000</v>
      </c>
      <c r="S14" s="28">
        <f>6.3*1000</f>
        <v>6300</v>
      </c>
    </row>
    <row r="15" spans="1:19" x14ac:dyDescent="0.25">
      <c r="A15" s="24" t="s">
        <v>79</v>
      </c>
      <c r="B15" s="27">
        <v>4.5</v>
      </c>
      <c r="C15" s="22">
        <v>7</v>
      </c>
      <c r="D15" s="22">
        <v>10</v>
      </c>
      <c r="E15" s="22">
        <v>14</v>
      </c>
      <c r="F15" s="22">
        <v>20</v>
      </c>
      <c r="G15" s="22">
        <v>29</v>
      </c>
      <c r="H15" s="22">
        <v>46</v>
      </c>
      <c r="I15" s="22">
        <v>72</v>
      </c>
      <c r="J15" s="22">
        <v>115</v>
      </c>
      <c r="K15" s="22">
        <v>185</v>
      </c>
      <c r="L15" s="22">
        <v>290</v>
      </c>
      <c r="M15" s="22">
        <f>0.46*1000</f>
        <v>460</v>
      </c>
      <c r="N15" s="22">
        <f>0.72*1000</f>
        <v>720</v>
      </c>
      <c r="O15" s="22">
        <f>1.15*1000</f>
        <v>1150</v>
      </c>
      <c r="P15" s="22">
        <f>1.85*1000</f>
        <v>1850</v>
      </c>
      <c r="Q15" s="22">
        <f>2.9*1000</f>
        <v>2900</v>
      </c>
      <c r="R15" s="22">
        <f>4.6*1000</f>
        <v>4600</v>
      </c>
      <c r="S15" s="28">
        <f>7.2*1000</f>
        <v>7200</v>
      </c>
    </row>
    <row r="16" spans="1:19" x14ac:dyDescent="0.25">
      <c r="A16" s="24" t="s">
        <v>80</v>
      </c>
      <c r="B16" s="27">
        <v>6</v>
      </c>
      <c r="C16" s="22">
        <v>8</v>
      </c>
      <c r="D16" s="32">
        <v>12</v>
      </c>
      <c r="E16" s="22">
        <v>16</v>
      </c>
      <c r="F16" s="22">
        <v>23</v>
      </c>
      <c r="G16" s="22">
        <v>32</v>
      </c>
      <c r="H16" s="22">
        <v>52</v>
      </c>
      <c r="I16" s="22">
        <v>81</v>
      </c>
      <c r="J16" s="22">
        <v>130</v>
      </c>
      <c r="K16" s="22">
        <v>210</v>
      </c>
      <c r="L16" s="22">
        <v>320</v>
      </c>
      <c r="M16" s="22">
        <f>0.52*1000</f>
        <v>520</v>
      </c>
      <c r="N16" s="22">
        <f>0.81*1000</f>
        <v>810</v>
      </c>
      <c r="O16" s="22">
        <f>1.3*1000</f>
        <v>1300</v>
      </c>
      <c r="P16" s="22">
        <f>2.1*1000</f>
        <v>2100</v>
      </c>
      <c r="Q16" s="22">
        <f>3.2*1000</f>
        <v>3200</v>
      </c>
      <c r="R16" s="22">
        <f>5.2*1000</f>
        <v>5200</v>
      </c>
      <c r="S16" s="28">
        <f>8.1*1000</f>
        <v>8100</v>
      </c>
    </row>
    <row r="17" spans="1:31" x14ac:dyDescent="0.25">
      <c r="A17" s="24" t="s">
        <v>81</v>
      </c>
      <c r="B17" s="27">
        <v>7</v>
      </c>
      <c r="C17" s="22">
        <v>9</v>
      </c>
      <c r="D17" s="22">
        <v>13</v>
      </c>
      <c r="E17" s="22">
        <v>18</v>
      </c>
      <c r="F17" s="22">
        <v>25</v>
      </c>
      <c r="G17" s="22">
        <v>36</v>
      </c>
      <c r="H17" s="22">
        <v>57</v>
      </c>
      <c r="I17" s="22">
        <v>89</v>
      </c>
      <c r="J17" s="22">
        <v>140</v>
      </c>
      <c r="K17" s="22">
        <v>230</v>
      </c>
      <c r="L17" s="22">
        <v>360</v>
      </c>
      <c r="M17" s="22">
        <f>0.57*1000</f>
        <v>570</v>
      </c>
      <c r="N17" s="22">
        <f>0.89*1000</f>
        <v>890</v>
      </c>
      <c r="O17" s="22">
        <f>1.4*1000</f>
        <v>1400</v>
      </c>
      <c r="P17" s="22">
        <f>2.3*1000</f>
        <v>2300</v>
      </c>
      <c r="Q17" s="22">
        <f>3.6*1000</f>
        <v>3600</v>
      </c>
      <c r="R17" s="22">
        <f>5.7*1000</f>
        <v>5700</v>
      </c>
      <c r="S17" s="28">
        <f>8.9*1000</f>
        <v>8900</v>
      </c>
    </row>
    <row r="18" spans="1:31" x14ac:dyDescent="0.25">
      <c r="A18" s="24" t="s">
        <v>82</v>
      </c>
      <c r="B18" s="27">
        <v>8</v>
      </c>
      <c r="C18" s="22">
        <v>10</v>
      </c>
      <c r="D18" s="22">
        <v>15</v>
      </c>
      <c r="E18" s="22">
        <v>20</v>
      </c>
      <c r="F18" s="22">
        <v>27</v>
      </c>
      <c r="G18" s="22">
        <v>40</v>
      </c>
      <c r="H18" s="22">
        <v>63</v>
      </c>
      <c r="I18" s="22">
        <v>97</v>
      </c>
      <c r="J18" s="22">
        <v>155</v>
      </c>
      <c r="K18" s="22">
        <v>250</v>
      </c>
      <c r="L18" s="22">
        <v>400</v>
      </c>
      <c r="M18" s="22">
        <f>0.63*1000</f>
        <v>630</v>
      </c>
      <c r="N18" s="22">
        <f>0.97*1000</f>
        <v>970</v>
      </c>
      <c r="O18" s="22">
        <f>1.55*1000</f>
        <v>1550</v>
      </c>
      <c r="P18" s="22">
        <f>2.5*1000</f>
        <v>2500</v>
      </c>
      <c r="Q18" s="22">
        <f>4*1000</f>
        <v>4000</v>
      </c>
      <c r="R18" s="22">
        <f>6.3*1000</f>
        <v>6300</v>
      </c>
      <c r="S18" s="28">
        <f>9.7*1000</f>
        <v>9700</v>
      </c>
    </row>
    <row r="19" spans="1:31" x14ac:dyDescent="0.25">
      <c r="A19" s="24" t="s">
        <v>83</v>
      </c>
      <c r="B19" s="27">
        <v>9</v>
      </c>
      <c r="C19" s="22">
        <v>11</v>
      </c>
      <c r="D19" s="22">
        <v>16</v>
      </c>
      <c r="E19" s="22">
        <v>22</v>
      </c>
      <c r="F19" s="22">
        <v>32</v>
      </c>
      <c r="G19" s="22">
        <v>44</v>
      </c>
      <c r="H19" s="22">
        <v>70</v>
      </c>
      <c r="I19" s="22">
        <v>110</v>
      </c>
      <c r="J19" s="22">
        <v>175</v>
      </c>
      <c r="K19" s="22">
        <v>280</v>
      </c>
      <c r="L19" s="22">
        <v>440</v>
      </c>
      <c r="M19" s="22">
        <f>0.7*1000</f>
        <v>700</v>
      </c>
      <c r="N19" s="22">
        <f>1.1*1000</f>
        <v>1100</v>
      </c>
      <c r="O19" s="22">
        <f>1.75*1000</f>
        <v>1750</v>
      </c>
      <c r="P19" s="22">
        <f>2.8*1000</f>
        <v>2800</v>
      </c>
      <c r="Q19" s="22">
        <f>4.4*1000</f>
        <v>4400</v>
      </c>
      <c r="R19" s="22">
        <f>7*1000</f>
        <v>7000</v>
      </c>
      <c r="S19" s="28">
        <f>11*1000</f>
        <v>11000</v>
      </c>
    </row>
    <row r="20" spans="1:31" x14ac:dyDescent="0.25">
      <c r="A20" s="24" t="s">
        <v>84</v>
      </c>
      <c r="B20" s="27">
        <v>10</v>
      </c>
      <c r="C20" s="22">
        <v>13</v>
      </c>
      <c r="D20" s="22">
        <v>18</v>
      </c>
      <c r="E20" s="22">
        <v>25</v>
      </c>
      <c r="F20" s="22">
        <v>36</v>
      </c>
      <c r="G20" s="22">
        <v>50</v>
      </c>
      <c r="H20" s="22">
        <v>80</v>
      </c>
      <c r="I20" s="22">
        <v>125</v>
      </c>
      <c r="J20" s="22">
        <v>200</v>
      </c>
      <c r="K20" s="22">
        <v>320</v>
      </c>
      <c r="L20" s="22">
        <v>500</v>
      </c>
      <c r="M20" s="22">
        <f>0.8*1000</f>
        <v>800</v>
      </c>
      <c r="N20" s="22">
        <f>1.25*1000</f>
        <v>1250</v>
      </c>
      <c r="O20" s="22">
        <f>2*1000</f>
        <v>2000</v>
      </c>
      <c r="P20" s="22">
        <f>3.2*1000</f>
        <v>3200</v>
      </c>
      <c r="Q20" s="22">
        <f>5*1000</f>
        <v>5000</v>
      </c>
      <c r="R20" s="22">
        <f>8*1000</f>
        <v>8000</v>
      </c>
      <c r="S20" s="28">
        <f>12.5*1000</f>
        <v>12500</v>
      </c>
    </row>
    <row r="21" spans="1:31" x14ac:dyDescent="0.25">
      <c r="A21" s="24" t="s">
        <v>85</v>
      </c>
      <c r="B21" s="27">
        <v>11</v>
      </c>
      <c r="C21" s="22">
        <v>15</v>
      </c>
      <c r="D21" s="22">
        <v>21</v>
      </c>
      <c r="E21" s="22">
        <v>28</v>
      </c>
      <c r="F21" s="22">
        <v>40</v>
      </c>
      <c r="G21" s="22">
        <v>56</v>
      </c>
      <c r="H21" s="22">
        <v>90</v>
      </c>
      <c r="I21" s="22">
        <v>140</v>
      </c>
      <c r="J21" s="22">
        <v>230</v>
      </c>
      <c r="K21" s="22">
        <v>360</v>
      </c>
      <c r="L21" s="22">
        <v>560</v>
      </c>
      <c r="M21" s="22">
        <f>0.9*1000</f>
        <v>900</v>
      </c>
      <c r="N21" s="22">
        <f>1.4*1000</f>
        <v>1400</v>
      </c>
      <c r="O21" s="22">
        <f>2.3*1000</f>
        <v>2300</v>
      </c>
      <c r="P21" s="22">
        <f>3.6*1000</f>
        <v>3600</v>
      </c>
      <c r="Q21" s="22">
        <f>5.6*1000</f>
        <v>5600</v>
      </c>
      <c r="R21" s="22">
        <f>9*1000</f>
        <v>9000</v>
      </c>
      <c r="S21" s="28">
        <f>14*1000</f>
        <v>14000</v>
      </c>
    </row>
    <row r="22" spans="1:31" x14ac:dyDescent="0.25">
      <c r="A22" s="25" t="s">
        <v>86</v>
      </c>
      <c r="B22" s="27">
        <v>13</v>
      </c>
      <c r="C22" s="22">
        <v>18</v>
      </c>
      <c r="D22" s="22">
        <v>24</v>
      </c>
      <c r="E22" s="22">
        <v>33</v>
      </c>
      <c r="F22" s="22">
        <v>47</v>
      </c>
      <c r="G22" s="22">
        <v>66</v>
      </c>
      <c r="H22" s="22">
        <v>105</v>
      </c>
      <c r="I22" s="22">
        <v>165</v>
      </c>
      <c r="J22" s="22">
        <v>260</v>
      </c>
      <c r="K22" s="22">
        <v>420</v>
      </c>
      <c r="L22" s="22">
        <v>660</v>
      </c>
      <c r="M22" s="22">
        <f>1.05*1000</f>
        <v>1050</v>
      </c>
      <c r="N22" s="22">
        <f>1.65*1000</f>
        <v>1650</v>
      </c>
      <c r="O22" s="22">
        <f>2.6*1000</f>
        <v>2600</v>
      </c>
      <c r="P22" s="22">
        <f>4.2*1000</f>
        <v>4200</v>
      </c>
      <c r="Q22" s="22">
        <f>6.6*1000</f>
        <v>6600</v>
      </c>
      <c r="R22" s="22">
        <f>10.5*1000</f>
        <v>10500</v>
      </c>
      <c r="S22" s="28">
        <f>16.5*1000</f>
        <v>16500</v>
      </c>
    </row>
    <row r="23" spans="1:31" x14ac:dyDescent="0.25">
      <c r="A23" s="25" t="s">
        <v>87</v>
      </c>
      <c r="B23" s="27">
        <v>15</v>
      </c>
      <c r="C23" s="22">
        <v>21</v>
      </c>
      <c r="D23" s="22">
        <v>29</v>
      </c>
      <c r="E23" s="22">
        <v>39</v>
      </c>
      <c r="F23" s="22">
        <v>55</v>
      </c>
      <c r="G23" s="22">
        <v>78</v>
      </c>
      <c r="H23" s="22">
        <v>125</v>
      </c>
      <c r="I23" s="22">
        <v>195</v>
      </c>
      <c r="J23" s="22">
        <v>310</v>
      </c>
      <c r="K23" s="22">
        <v>500</v>
      </c>
      <c r="L23" s="22">
        <v>780</v>
      </c>
      <c r="M23" s="22">
        <f>1.25*1000</f>
        <v>1250</v>
      </c>
      <c r="N23" s="22">
        <f>1.95*1000</f>
        <v>1950</v>
      </c>
      <c r="O23" s="22">
        <f>3.1*1000</f>
        <v>3100</v>
      </c>
      <c r="P23" s="22">
        <f>5*1000</f>
        <v>5000</v>
      </c>
      <c r="Q23" s="22">
        <f>7.8*1000</f>
        <v>7800</v>
      </c>
      <c r="R23" s="22">
        <f>12.5*1000</f>
        <v>12500</v>
      </c>
      <c r="S23" s="28">
        <f>19.5*1000</f>
        <v>19500</v>
      </c>
    </row>
    <row r="24" spans="1:31" x14ac:dyDescent="0.25">
      <c r="A24" s="25" t="s">
        <v>88</v>
      </c>
      <c r="B24" s="27">
        <v>18</v>
      </c>
      <c r="C24" s="22">
        <v>25</v>
      </c>
      <c r="D24" s="22">
        <v>35</v>
      </c>
      <c r="E24" s="22">
        <v>46</v>
      </c>
      <c r="F24" s="22">
        <v>65</v>
      </c>
      <c r="G24" s="22">
        <v>92</v>
      </c>
      <c r="H24" s="22">
        <v>150</v>
      </c>
      <c r="I24" s="22">
        <v>230</v>
      </c>
      <c r="J24" s="22">
        <v>370</v>
      </c>
      <c r="K24" s="22">
        <v>600</v>
      </c>
      <c r="L24" s="22">
        <v>920</v>
      </c>
      <c r="M24" s="22">
        <f>1.5*1000</f>
        <v>1500</v>
      </c>
      <c r="N24" s="22">
        <f>2.3*1000</f>
        <v>2300</v>
      </c>
      <c r="O24" s="22">
        <f>3.7*1000</f>
        <v>3700</v>
      </c>
      <c r="P24" s="22">
        <f>6*1000</f>
        <v>6000</v>
      </c>
      <c r="Q24" s="22">
        <f>9.2*1000</f>
        <v>9200</v>
      </c>
      <c r="R24" s="22">
        <f>15*1000</f>
        <v>15000</v>
      </c>
      <c r="S24" s="28">
        <f>23*1000</f>
        <v>23000</v>
      </c>
    </row>
    <row r="25" spans="1:31" x14ac:dyDescent="0.25">
      <c r="A25" s="25" t="s">
        <v>89</v>
      </c>
      <c r="B25" s="27">
        <v>22</v>
      </c>
      <c r="C25" s="22">
        <v>30</v>
      </c>
      <c r="D25" s="22">
        <v>41</v>
      </c>
      <c r="E25" s="22">
        <v>55</v>
      </c>
      <c r="F25" s="22">
        <v>78</v>
      </c>
      <c r="G25" s="22">
        <v>110</v>
      </c>
      <c r="H25" s="22">
        <v>175</v>
      </c>
      <c r="I25" s="22">
        <v>280</v>
      </c>
      <c r="J25" s="22">
        <v>440</v>
      </c>
      <c r="K25" s="22">
        <v>700</v>
      </c>
      <c r="L25" s="22">
        <v>110</v>
      </c>
      <c r="M25" s="22">
        <f>1.75*1000</f>
        <v>1750</v>
      </c>
      <c r="N25" s="22">
        <f>2.8*1000</f>
        <v>2800</v>
      </c>
      <c r="O25" s="22">
        <f>4.4*1000</f>
        <v>4400</v>
      </c>
      <c r="P25" s="22">
        <f>7*1000</f>
        <v>7000</v>
      </c>
      <c r="Q25" s="22">
        <f>11*1000</f>
        <v>11000</v>
      </c>
      <c r="R25" s="22">
        <f>17.5*1000</f>
        <v>17500</v>
      </c>
      <c r="S25" s="28">
        <f>28*1000</f>
        <v>28000</v>
      </c>
    </row>
    <row r="26" spans="1:31" ht="15.75" thickBot="1" x14ac:dyDescent="0.3">
      <c r="A26" s="26" t="s">
        <v>90</v>
      </c>
      <c r="B26" s="29">
        <v>26</v>
      </c>
      <c r="C26" s="30">
        <v>36</v>
      </c>
      <c r="D26" s="30">
        <v>50</v>
      </c>
      <c r="E26" s="30">
        <v>68</v>
      </c>
      <c r="F26" s="30">
        <v>96</v>
      </c>
      <c r="G26" s="30">
        <v>135</v>
      </c>
      <c r="H26" s="30">
        <v>210</v>
      </c>
      <c r="I26" s="30">
        <v>330</v>
      </c>
      <c r="J26" s="30">
        <v>540</v>
      </c>
      <c r="K26" s="30">
        <v>860</v>
      </c>
      <c r="L26" s="30">
        <v>1350</v>
      </c>
      <c r="M26" s="30">
        <f>2.1*1000</f>
        <v>2100</v>
      </c>
      <c r="N26" s="30">
        <f>3.3*1000</f>
        <v>3300</v>
      </c>
      <c r="O26" s="30">
        <f>5.4*1000</f>
        <v>5400</v>
      </c>
      <c r="P26" s="30">
        <f>8.6*1000</f>
        <v>8600</v>
      </c>
      <c r="Q26" s="30">
        <f>13.5*1000</f>
        <v>13500</v>
      </c>
      <c r="R26" s="30">
        <f>21*1000</f>
        <v>21000</v>
      </c>
      <c r="S26" s="31">
        <f>33*1000</f>
        <v>33000</v>
      </c>
    </row>
    <row r="27" spans="1:31" x14ac:dyDescent="0.25">
      <c r="A27" s="18"/>
    </row>
    <row r="31" spans="1:31" ht="15.75" thickBot="1" x14ac:dyDescent="0.3">
      <c r="A31" s="18"/>
    </row>
    <row r="32" spans="1:31" ht="15.75" thickBot="1" x14ac:dyDescent="0.3">
      <c r="A32" s="274" t="s">
        <v>124</v>
      </c>
      <c r="B32" s="275"/>
      <c r="C32" s="275"/>
      <c r="D32" s="275"/>
      <c r="E32" s="275"/>
      <c r="F32" s="275"/>
      <c r="G32" s="275"/>
      <c r="H32" s="275"/>
      <c r="I32" s="275"/>
      <c r="J32" s="275"/>
      <c r="K32" s="275"/>
      <c r="L32" s="275"/>
      <c r="M32" s="275"/>
      <c r="N32" s="275"/>
      <c r="O32" s="275"/>
      <c r="P32" s="275"/>
      <c r="Q32" s="275"/>
      <c r="R32" s="275"/>
      <c r="S32" s="275"/>
      <c r="T32" s="275"/>
      <c r="U32" s="275"/>
      <c r="V32" s="275"/>
      <c r="W32" s="275"/>
      <c r="X32" s="275"/>
      <c r="Y32" s="277"/>
      <c r="Z32" s="299" t="s">
        <v>179</v>
      </c>
      <c r="AA32" s="300"/>
      <c r="AB32" s="300"/>
      <c r="AC32" s="300"/>
      <c r="AD32" s="300"/>
      <c r="AE32" s="301"/>
    </row>
    <row r="33" spans="1:31" x14ac:dyDescent="0.25">
      <c r="A33" s="311" t="s">
        <v>74</v>
      </c>
      <c r="B33" s="313" t="s">
        <v>123</v>
      </c>
      <c r="C33" s="314"/>
      <c r="D33" s="314"/>
      <c r="E33" s="314"/>
      <c r="F33" s="314"/>
      <c r="G33" s="314"/>
      <c r="H33" s="315"/>
      <c r="I33" s="331" t="s">
        <v>126</v>
      </c>
      <c r="J33" s="331"/>
      <c r="K33" s="331"/>
      <c r="L33" s="331"/>
      <c r="M33" s="331"/>
      <c r="N33" s="331"/>
      <c r="O33" s="331"/>
      <c r="P33" s="331"/>
      <c r="Q33" s="331"/>
      <c r="R33" s="331"/>
      <c r="S33" s="331"/>
      <c r="T33" s="331"/>
      <c r="U33" s="331"/>
      <c r="V33" s="331"/>
      <c r="W33" s="331"/>
      <c r="X33" s="331"/>
      <c r="Y33" s="332"/>
      <c r="Z33" s="302"/>
      <c r="AA33" s="303"/>
      <c r="AB33" s="303"/>
      <c r="AC33" s="303"/>
      <c r="AD33" s="303"/>
      <c r="AE33" s="304"/>
    </row>
    <row r="34" spans="1:31" ht="15.75" thickBot="1" x14ac:dyDescent="0.3">
      <c r="A34" s="311"/>
      <c r="B34" s="19" t="s">
        <v>96</v>
      </c>
      <c r="C34" s="23" t="s">
        <v>97</v>
      </c>
      <c r="D34" s="23" t="s">
        <v>98</v>
      </c>
      <c r="E34" s="23" t="s">
        <v>99</v>
      </c>
      <c r="F34" s="20" t="s">
        <v>100</v>
      </c>
      <c r="G34" s="20" t="s">
        <v>93</v>
      </c>
      <c r="H34" s="21" t="s">
        <v>94</v>
      </c>
      <c r="I34" s="327" t="s">
        <v>101</v>
      </c>
      <c r="J34" s="336"/>
      <c r="K34" s="328"/>
      <c r="L34" s="44" t="s">
        <v>102</v>
      </c>
      <c r="M34" s="44" t="s">
        <v>103</v>
      </c>
      <c r="N34" s="44" t="s">
        <v>104</v>
      </c>
      <c r="O34" s="44" t="s">
        <v>105</v>
      </c>
      <c r="P34" s="40" t="s">
        <v>106</v>
      </c>
      <c r="Q34" s="40" t="s">
        <v>107</v>
      </c>
      <c r="R34" s="40" t="s">
        <v>108</v>
      </c>
      <c r="S34" s="40" t="s">
        <v>109</v>
      </c>
      <c r="T34" s="40" t="s">
        <v>110</v>
      </c>
      <c r="U34" s="40" t="s">
        <v>111</v>
      </c>
      <c r="V34" s="40" t="s">
        <v>112</v>
      </c>
      <c r="W34" s="40" t="s">
        <v>113</v>
      </c>
      <c r="X34" s="40" t="s">
        <v>114</v>
      </c>
      <c r="Y34" s="41" t="s">
        <v>115</v>
      </c>
      <c r="Z34" s="305"/>
      <c r="AA34" s="306"/>
      <c r="AB34" s="306"/>
      <c r="AC34" s="306"/>
      <c r="AD34" s="306"/>
      <c r="AE34" s="307"/>
    </row>
    <row r="35" spans="1:31" x14ac:dyDescent="0.25">
      <c r="A35" s="311"/>
      <c r="B35" s="316" t="s">
        <v>125</v>
      </c>
      <c r="C35" s="317"/>
      <c r="D35" s="317"/>
      <c r="E35" s="317"/>
      <c r="F35" s="317"/>
      <c r="G35" s="317"/>
      <c r="H35" s="318"/>
      <c r="I35" s="322" t="s">
        <v>53</v>
      </c>
      <c r="J35" s="322" t="s">
        <v>54</v>
      </c>
      <c r="K35" s="317" t="s">
        <v>55</v>
      </c>
      <c r="L35" s="334" t="s">
        <v>127</v>
      </c>
      <c r="M35" s="334" t="s">
        <v>127</v>
      </c>
      <c r="N35" s="334" t="s">
        <v>127</v>
      </c>
      <c r="O35" s="334" t="s">
        <v>128</v>
      </c>
      <c r="P35" s="313" t="s">
        <v>129</v>
      </c>
      <c r="Q35" s="314"/>
      <c r="R35" s="314"/>
      <c r="S35" s="314"/>
      <c r="T35" s="314"/>
      <c r="U35" s="314"/>
      <c r="V35" s="314"/>
      <c r="W35" s="314"/>
      <c r="X35" s="314"/>
      <c r="Y35" s="315"/>
      <c r="Z35" s="270" t="s">
        <v>50</v>
      </c>
      <c r="AA35" s="270" t="s">
        <v>51</v>
      </c>
      <c r="AB35" s="270" t="s">
        <v>52</v>
      </c>
      <c r="AC35" s="270" t="s">
        <v>53</v>
      </c>
      <c r="AD35" s="270" t="s">
        <v>54</v>
      </c>
      <c r="AE35" s="308" t="s">
        <v>55</v>
      </c>
    </row>
    <row r="36" spans="1:31" ht="15.75" thickBot="1" x14ac:dyDescent="0.3">
      <c r="A36" s="312"/>
      <c r="B36" s="319"/>
      <c r="C36" s="320"/>
      <c r="D36" s="320"/>
      <c r="E36" s="320"/>
      <c r="F36" s="320"/>
      <c r="G36" s="320"/>
      <c r="H36" s="321"/>
      <c r="I36" s="323"/>
      <c r="J36" s="323"/>
      <c r="K36" s="320"/>
      <c r="L36" s="335"/>
      <c r="M36" s="335"/>
      <c r="N36" s="335"/>
      <c r="O36" s="335"/>
      <c r="P36" s="327"/>
      <c r="Q36" s="336"/>
      <c r="R36" s="336"/>
      <c r="S36" s="336"/>
      <c r="T36" s="336"/>
      <c r="U36" s="336"/>
      <c r="V36" s="336"/>
      <c r="W36" s="336"/>
      <c r="X36" s="336"/>
      <c r="Y36" s="328"/>
      <c r="Z36" s="272"/>
      <c r="AA36" s="272"/>
      <c r="AB36" s="272"/>
      <c r="AC36" s="272"/>
      <c r="AD36" s="272"/>
      <c r="AE36" s="309"/>
    </row>
    <row r="37" spans="1:31" ht="15.75" thickBot="1" x14ac:dyDescent="0.3">
      <c r="A37" s="34" t="s">
        <v>47</v>
      </c>
      <c r="B37" s="43">
        <v>60</v>
      </c>
      <c r="C37" s="42">
        <v>20</v>
      </c>
      <c r="D37" s="42">
        <v>14</v>
      </c>
      <c r="E37" s="42">
        <v>6</v>
      </c>
      <c r="F37" s="42">
        <v>2</v>
      </c>
      <c r="G37" s="42">
        <v>0</v>
      </c>
      <c r="H37" s="324" t="s">
        <v>178</v>
      </c>
      <c r="I37" s="42">
        <v>2</v>
      </c>
      <c r="J37" s="42">
        <v>4</v>
      </c>
      <c r="K37" s="42">
        <v>8</v>
      </c>
      <c r="L37" s="59">
        <v>0</v>
      </c>
      <c r="M37" s="59">
        <v>-2</v>
      </c>
      <c r="N37" s="59">
        <v>-4</v>
      </c>
      <c r="O37" s="324" t="s">
        <v>180</v>
      </c>
      <c r="P37" s="52">
        <v>-6</v>
      </c>
      <c r="Q37" s="52">
        <v>-10</v>
      </c>
      <c r="R37" s="52">
        <v>-14</v>
      </c>
      <c r="S37" s="61" t="s">
        <v>181</v>
      </c>
      <c r="T37" s="52">
        <v>-18</v>
      </c>
      <c r="U37" s="52">
        <v>-20</v>
      </c>
      <c r="V37" s="52">
        <v>-26</v>
      </c>
      <c r="W37" s="52">
        <v>-32</v>
      </c>
      <c r="X37" s="51">
        <v>-40</v>
      </c>
      <c r="Y37" s="63">
        <v>-60</v>
      </c>
      <c r="Z37" s="53"/>
      <c r="AA37" s="53"/>
      <c r="AB37" s="53"/>
      <c r="AC37" s="53"/>
      <c r="AD37" s="53"/>
      <c r="AE37" s="57"/>
    </row>
    <row r="38" spans="1:31" ht="15" customHeight="1" x14ac:dyDescent="0.25">
      <c r="A38" s="50" t="s">
        <v>70</v>
      </c>
      <c r="B38" s="43">
        <v>70</v>
      </c>
      <c r="C38" s="42">
        <v>30</v>
      </c>
      <c r="D38" s="42">
        <v>20</v>
      </c>
      <c r="E38" s="42">
        <v>10</v>
      </c>
      <c r="F38" s="42">
        <v>4</v>
      </c>
      <c r="G38" s="42">
        <v>0</v>
      </c>
      <c r="H38" s="325"/>
      <c r="I38" s="42">
        <v>5</v>
      </c>
      <c r="J38" s="42">
        <v>6</v>
      </c>
      <c r="K38" s="42">
        <v>10</v>
      </c>
      <c r="L38" s="59">
        <v>-1</v>
      </c>
      <c r="M38" s="59">
        <v>-4</v>
      </c>
      <c r="N38" s="59">
        <v>-8</v>
      </c>
      <c r="O38" s="325"/>
      <c r="P38" s="52">
        <v>-12</v>
      </c>
      <c r="Q38" s="52">
        <v>-15</v>
      </c>
      <c r="R38" s="52">
        <v>-19</v>
      </c>
      <c r="S38" s="61" t="s">
        <v>181</v>
      </c>
      <c r="T38" s="52">
        <v>-23</v>
      </c>
      <c r="U38" s="52">
        <v>-28</v>
      </c>
      <c r="V38" s="52">
        <v>-35</v>
      </c>
      <c r="W38" s="52">
        <v>-42</v>
      </c>
      <c r="X38" s="51">
        <v>-50</v>
      </c>
      <c r="Y38" s="63">
        <v>-80</v>
      </c>
      <c r="Z38" s="53">
        <v>1</v>
      </c>
      <c r="AA38" s="53">
        <v>1.5</v>
      </c>
      <c r="AB38" s="53">
        <v>1</v>
      </c>
      <c r="AC38" s="53">
        <v>3</v>
      </c>
      <c r="AD38" s="53">
        <v>4</v>
      </c>
      <c r="AE38" s="57">
        <v>6</v>
      </c>
    </row>
    <row r="39" spans="1:31" x14ac:dyDescent="0.25">
      <c r="A39" s="24" t="s">
        <v>71</v>
      </c>
      <c r="B39" s="27">
        <v>80</v>
      </c>
      <c r="C39" s="22">
        <v>40</v>
      </c>
      <c r="D39" s="22">
        <v>25</v>
      </c>
      <c r="E39" s="22">
        <v>13</v>
      </c>
      <c r="F39" s="22">
        <v>5</v>
      </c>
      <c r="G39" s="22">
        <v>0</v>
      </c>
      <c r="H39" s="325"/>
      <c r="I39" s="22">
        <v>5</v>
      </c>
      <c r="J39" s="22">
        <v>8</v>
      </c>
      <c r="K39" s="22">
        <v>12</v>
      </c>
      <c r="L39" s="59">
        <v>-1</v>
      </c>
      <c r="M39" s="59">
        <v>-6</v>
      </c>
      <c r="N39" s="59">
        <v>-10</v>
      </c>
      <c r="O39" s="325"/>
      <c r="P39" s="46">
        <v>-15</v>
      </c>
      <c r="Q39" s="46">
        <v>-19</v>
      </c>
      <c r="R39" s="46">
        <v>-23</v>
      </c>
      <c r="S39" s="61" t="s">
        <v>181</v>
      </c>
      <c r="T39" s="46">
        <v>-28</v>
      </c>
      <c r="U39" s="46">
        <v>-34</v>
      </c>
      <c r="V39" s="46">
        <v>-42</v>
      </c>
      <c r="W39" s="46">
        <v>-52</v>
      </c>
      <c r="X39" s="46">
        <v>-67</v>
      </c>
      <c r="Y39" s="54">
        <v>-97</v>
      </c>
      <c r="Z39" s="53">
        <v>1</v>
      </c>
      <c r="AA39" s="53">
        <v>1.5</v>
      </c>
      <c r="AB39" s="53">
        <v>2</v>
      </c>
      <c r="AC39" s="53">
        <v>3</v>
      </c>
      <c r="AD39" s="53">
        <v>6</v>
      </c>
      <c r="AE39" s="57">
        <v>7</v>
      </c>
    </row>
    <row r="40" spans="1:31" x14ac:dyDescent="0.25">
      <c r="A40" s="24" t="s">
        <v>130</v>
      </c>
      <c r="B40" s="48">
        <v>95</v>
      </c>
      <c r="C40" s="47">
        <v>50</v>
      </c>
      <c r="D40" s="47">
        <v>32</v>
      </c>
      <c r="E40" s="47">
        <v>16</v>
      </c>
      <c r="F40" s="47">
        <v>6</v>
      </c>
      <c r="G40" s="47">
        <v>0</v>
      </c>
      <c r="H40" s="325"/>
      <c r="I40" s="47">
        <v>6</v>
      </c>
      <c r="J40" s="47">
        <v>10</v>
      </c>
      <c r="K40" s="47">
        <v>15</v>
      </c>
      <c r="L40" s="60">
        <v>-1</v>
      </c>
      <c r="M40" s="60">
        <v>-7</v>
      </c>
      <c r="N40" s="60">
        <v>-12</v>
      </c>
      <c r="O40" s="325"/>
      <c r="P40" s="47">
        <v>-18</v>
      </c>
      <c r="Q40" s="47">
        <v>-23</v>
      </c>
      <c r="R40" s="47">
        <v>-28</v>
      </c>
      <c r="S40" s="62" t="s">
        <v>181</v>
      </c>
      <c r="T40" s="47">
        <v>-33</v>
      </c>
      <c r="U40" s="46">
        <v>-40</v>
      </c>
      <c r="V40" s="46">
        <v>-50</v>
      </c>
      <c r="W40" s="46">
        <v>-64</v>
      </c>
      <c r="X40" s="46">
        <v>-90</v>
      </c>
      <c r="Y40" s="54">
        <v>-130</v>
      </c>
      <c r="Z40" s="45">
        <v>1</v>
      </c>
      <c r="AA40" s="45">
        <v>2</v>
      </c>
      <c r="AB40" s="45">
        <v>3</v>
      </c>
      <c r="AC40" s="45">
        <v>3</v>
      </c>
      <c r="AD40" s="45">
        <v>7</v>
      </c>
      <c r="AE40" s="58">
        <v>9</v>
      </c>
    </row>
    <row r="41" spans="1:31" x14ac:dyDescent="0.25">
      <c r="A41" s="24" t="s">
        <v>131</v>
      </c>
      <c r="B41" s="48">
        <v>95</v>
      </c>
      <c r="C41" s="47">
        <v>50</v>
      </c>
      <c r="D41" s="47">
        <v>32</v>
      </c>
      <c r="E41" s="47">
        <v>16</v>
      </c>
      <c r="F41" s="47">
        <v>6</v>
      </c>
      <c r="G41" s="47">
        <v>0</v>
      </c>
      <c r="H41" s="325"/>
      <c r="I41" s="47">
        <v>6</v>
      </c>
      <c r="J41" s="47">
        <v>10</v>
      </c>
      <c r="K41" s="47">
        <v>15</v>
      </c>
      <c r="L41" s="60">
        <v>-1</v>
      </c>
      <c r="M41" s="60">
        <v>-7</v>
      </c>
      <c r="N41" s="60">
        <v>-12</v>
      </c>
      <c r="O41" s="325"/>
      <c r="P41" s="47">
        <v>-18</v>
      </c>
      <c r="Q41" s="47">
        <v>-23</v>
      </c>
      <c r="R41" s="47">
        <v>-28</v>
      </c>
      <c r="S41" s="62" t="s">
        <v>181</v>
      </c>
      <c r="T41" s="47">
        <v>-33</v>
      </c>
      <c r="U41" s="46">
        <v>-45</v>
      </c>
      <c r="V41" s="46">
        <v>-60</v>
      </c>
      <c r="W41" s="46">
        <v>-77</v>
      </c>
      <c r="X41" s="46">
        <v>-108</v>
      </c>
      <c r="Y41" s="54">
        <v>-150</v>
      </c>
      <c r="Z41" s="45">
        <v>1</v>
      </c>
      <c r="AA41" s="45">
        <v>2</v>
      </c>
      <c r="AB41" s="45">
        <v>3</v>
      </c>
      <c r="AC41" s="45">
        <v>3</v>
      </c>
      <c r="AD41" s="45">
        <v>7</v>
      </c>
      <c r="AE41" s="58">
        <v>9</v>
      </c>
    </row>
    <row r="42" spans="1:31" x14ac:dyDescent="0.25">
      <c r="A42" s="24" t="s">
        <v>132</v>
      </c>
      <c r="B42" s="49">
        <v>110</v>
      </c>
      <c r="C42" s="47">
        <v>65</v>
      </c>
      <c r="D42" s="47">
        <v>40</v>
      </c>
      <c r="E42" s="47">
        <v>20</v>
      </c>
      <c r="F42" s="47">
        <v>7</v>
      </c>
      <c r="G42" s="47">
        <v>0</v>
      </c>
      <c r="H42" s="325"/>
      <c r="I42" s="47">
        <v>8</v>
      </c>
      <c r="J42" s="47">
        <v>12</v>
      </c>
      <c r="K42" s="47">
        <v>20</v>
      </c>
      <c r="L42" s="60">
        <v>-2</v>
      </c>
      <c r="M42" s="60">
        <v>-8</v>
      </c>
      <c r="N42" s="60">
        <v>-15</v>
      </c>
      <c r="O42" s="325"/>
      <c r="P42" s="47">
        <v>-22</v>
      </c>
      <c r="Q42" s="47">
        <v>-28</v>
      </c>
      <c r="R42" s="47">
        <v>-35</v>
      </c>
      <c r="S42" s="61" t="s">
        <v>181</v>
      </c>
      <c r="T42" s="46">
        <v>-41</v>
      </c>
      <c r="U42" s="46">
        <v>-54</v>
      </c>
      <c r="V42" s="46">
        <v>-73</v>
      </c>
      <c r="W42" s="46">
        <v>-98</v>
      </c>
      <c r="X42" s="46">
        <v>-136</v>
      </c>
      <c r="Y42" s="54">
        <v>-188</v>
      </c>
      <c r="Z42" s="45">
        <v>1.5</v>
      </c>
      <c r="AA42" s="45">
        <v>2</v>
      </c>
      <c r="AB42" s="45">
        <v>3</v>
      </c>
      <c r="AC42" s="45">
        <v>4</v>
      </c>
      <c r="AD42" s="45">
        <v>8</v>
      </c>
      <c r="AE42" s="58">
        <v>12</v>
      </c>
    </row>
    <row r="43" spans="1:31" x14ac:dyDescent="0.25">
      <c r="A43" s="24" t="s">
        <v>133</v>
      </c>
      <c r="B43" s="49">
        <v>110</v>
      </c>
      <c r="C43" s="47">
        <v>65</v>
      </c>
      <c r="D43" s="47">
        <v>40</v>
      </c>
      <c r="E43" s="47">
        <v>20</v>
      </c>
      <c r="F43" s="47">
        <v>7</v>
      </c>
      <c r="G43" s="47">
        <v>0</v>
      </c>
      <c r="H43" s="325"/>
      <c r="I43" s="47">
        <v>8</v>
      </c>
      <c r="J43" s="47">
        <v>12</v>
      </c>
      <c r="K43" s="47">
        <v>20</v>
      </c>
      <c r="L43" s="60">
        <v>-2</v>
      </c>
      <c r="M43" s="60">
        <v>-8</v>
      </c>
      <c r="N43" s="60">
        <v>-15</v>
      </c>
      <c r="O43" s="325"/>
      <c r="P43" s="47">
        <v>-22</v>
      </c>
      <c r="Q43" s="47">
        <v>-28</v>
      </c>
      <c r="R43" s="47">
        <v>-35</v>
      </c>
      <c r="S43" s="46">
        <v>-41</v>
      </c>
      <c r="T43" s="46">
        <v>-48</v>
      </c>
      <c r="U43" s="46">
        <v>-64</v>
      </c>
      <c r="V43" s="46">
        <v>-88</v>
      </c>
      <c r="W43" s="46">
        <v>-118</v>
      </c>
      <c r="X43" s="46">
        <v>-160</v>
      </c>
      <c r="Y43" s="54">
        <v>-218</v>
      </c>
      <c r="Z43" s="45">
        <v>1.5</v>
      </c>
      <c r="AA43" s="45">
        <v>2</v>
      </c>
      <c r="AB43" s="45">
        <v>3</v>
      </c>
      <c r="AC43" s="45">
        <v>4</v>
      </c>
      <c r="AD43" s="45">
        <v>8</v>
      </c>
      <c r="AE43" s="58">
        <v>12</v>
      </c>
    </row>
    <row r="44" spans="1:31" x14ac:dyDescent="0.25">
      <c r="A44" s="24" t="s">
        <v>134</v>
      </c>
      <c r="B44" s="27">
        <v>120</v>
      </c>
      <c r="C44" s="47">
        <v>80</v>
      </c>
      <c r="D44" s="47">
        <v>50</v>
      </c>
      <c r="E44" s="47">
        <v>25</v>
      </c>
      <c r="F44" s="47">
        <v>9</v>
      </c>
      <c r="G44" s="47">
        <v>0</v>
      </c>
      <c r="H44" s="325"/>
      <c r="I44" s="47">
        <v>10</v>
      </c>
      <c r="J44" s="47">
        <v>14</v>
      </c>
      <c r="K44" s="47">
        <v>24</v>
      </c>
      <c r="L44" s="60">
        <v>-2</v>
      </c>
      <c r="M44" s="60">
        <v>-9</v>
      </c>
      <c r="N44" s="60">
        <v>-17</v>
      </c>
      <c r="O44" s="325"/>
      <c r="P44" s="47">
        <v>-26</v>
      </c>
      <c r="Q44" s="47">
        <v>-34</v>
      </c>
      <c r="R44" s="47">
        <v>-43</v>
      </c>
      <c r="S44" s="46">
        <v>-48</v>
      </c>
      <c r="T44" s="46">
        <v>-60</v>
      </c>
      <c r="U44" s="46">
        <v>-80</v>
      </c>
      <c r="V44" s="46">
        <v>-112</v>
      </c>
      <c r="W44" s="46">
        <v>-148</v>
      </c>
      <c r="X44" s="46">
        <v>-200</v>
      </c>
      <c r="Y44" s="54">
        <v>-274</v>
      </c>
      <c r="Z44" s="45">
        <v>1.5</v>
      </c>
      <c r="AA44" s="45">
        <v>3</v>
      </c>
      <c r="AB44" s="45">
        <v>4</v>
      </c>
      <c r="AC44" s="45">
        <v>5</v>
      </c>
      <c r="AD44" s="45">
        <v>9</v>
      </c>
      <c r="AE44" s="58">
        <v>14</v>
      </c>
    </row>
    <row r="45" spans="1:31" x14ac:dyDescent="0.25">
      <c r="A45" s="24" t="s">
        <v>135</v>
      </c>
      <c r="B45" s="27">
        <v>130</v>
      </c>
      <c r="C45" s="47">
        <v>80</v>
      </c>
      <c r="D45" s="47">
        <v>50</v>
      </c>
      <c r="E45" s="47">
        <v>25</v>
      </c>
      <c r="F45" s="47">
        <v>9</v>
      </c>
      <c r="G45" s="47">
        <v>0</v>
      </c>
      <c r="H45" s="325"/>
      <c r="I45" s="47">
        <v>10</v>
      </c>
      <c r="J45" s="47">
        <v>14</v>
      </c>
      <c r="K45" s="47">
        <v>24</v>
      </c>
      <c r="L45" s="60">
        <v>-2</v>
      </c>
      <c r="M45" s="60">
        <v>-9</v>
      </c>
      <c r="N45" s="60">
        <v>-17</v>
      </c>
      <c r="O45" s="325"/>
      <c r="P45" s="47">
        <v>-26</v>
      </c>
      <c r="Q45" s="47">
        <v>-34</v>
      </c>
      <c r="R45" s="47">
        <v>-43</v>
      </c>
      <c r="S45" s="46">
        <v>-54</v>
      </c>
      <c r="T45" s="46">
        <v>-70</v>
      </c>
      <c r="U45" s="46">
        <v>-97</v>
      </c>
      <c r="V45" s="46">
        <v>-136</v>
      </c>
      <c r="W45" s="46">
        <v>-180</v>
      </c>
      <c r="X45" s="46">
        <v>-242</v>
      </c>
      <c r="Y45" s="54">
        <v>-325</v>
      </c>
      <c r="Z45" s="45">
        <v>1.5</v>
      </c>
      <c r="AA45" s="45">
        <v>3</v>
      </c>
      <c r="AB45" s="45">
        <v>4</v>
      </c>
      <c r="AC45" s="45">
        <v>5</v>
      </c>
      <c r="AD45" s="45">
        <v>9</v>
      </c>
      <c r="AE45" s="58">
        <v>14</v>
      </c>
    </row>
    <row r="46" spans="1:31" x14ac:dyDescent="0.25">
      <c r="A46" s="24" t="s">
        <v>137</v>
      </c>
      <c r="B46" s="27">
        <v>140</v>
      </c>
      <c r="C46" s="47">
        <v>100</v>
      </c>
      <c r="D46" s="47">
        <v>60</v>
      </c>
      <c r="E46" s="47">
        <v>30</v>
      </c>
      <c r="F46" s="47">
        <v>10</v>
      </c>
      <c r="G46" s="47">
        <v>0</v>
      </c>
      <c r="H46" s="325"/>
      <c r="I46" s="47">
        <v>13</v>
      </c>
      <c r="J46" s="47">
        <v>18</v>
      </c>
      <c r="K46" s="47">
        <v>28</v>
      </c>
      <c r="L46" s="60">
        <v>-2</v>
      </c>
      <c r="M46" s="60">
        <v>-11</v>
      </c>
      <c r="N46" s="60">
        <v>-20</v>
      </c>
      <c r="O46" s="325"/>
      <c r="P46" s="47">
        <v>-32</v>
      </c>
      <c r="Q46" s="46">
        <v>-41</v>
      </c>
      <c r="R46" s="46">
        <v>-53</v>
      </c>
      <c r="S46" s="46">
        <v>-66</v>
      </c>
      <c r="T46" s="46">
        <v>-87</v>
      </c>
      <c r="U46" s="46">
        <v>-122</v>
      </c>
      <c r="V46" s="46">
        <v>-172</v>
      </c>
      <c r="W46" s="46">
        <v>-226</v>
      </c>
      <c r="X46" s="46">
        <v>-300</v>
      </c>
      <c r="Y46" s="54">
        <v>-405</v>
      </c>
      <c r="Z46" s="45">
        <v>2</v>
      </c>
      <c r="AA46" s="45">
        <v>3</v>
      </c>
      <c r="AB46" s="45">
        <v>5</v>
      </c>
      <c r="AC46" s="45">
        <v>6</v>
      </c>
      <c r="AD46" s="45">
        <v>11</v>
      </c>
      <c r="AE46" s="58">
        <v>16</v>
      </c>
    </row>
    <row r="47" spans="1:31" x14ac:dyDescent="0.25">
      <c r="A47" s="24" t="s">
        <v>136</v>
      </c>
      <c r="B47" s="27">
        <v>150</v>
      </c>
      <c r="C47" s="47">
        <v>100</v>
      </c>
      <c r="D47" s="47">
        <v>60</v>
      </c>
      <c r="E47" s="47">
        <v>30</v>
      </c>
      <c r="F47" s="47">
        <v>10</v>
      </c>
      <c r="G47" s="47">
        <v>0</v>
      </c>
      <c r="H47" s="325"/>
      <c r="I47" s="47">
        <v>13</v>
      </c>
      <c r="J47" s="47">
        <v>18</v>
      </c>
      <c r="K47" s="47">
        <v>28</v>
      </c>
      <c r="L47" s="60">
        <v>-2</v>
      </c>
      <c r="M47" s="60">
        <v>-11</v>
      </c>
      <c r="N47" s="60">
        <v>-20</v>
      </c>
      <c r="O47" s="325"/>
      <c r="P47" s="47">
        <v>-32</v>
      </c>
      <c r="Q47" s="46">
        <v>-43</v>
      </c>
      <c r="R47" s="46">
        <v>-59</v>
      </c>
      <c r="S47" s="46">
        <v>-75</v>
      </c>
      <c r="T47" s="46">
        <v>-102</v>
      </c>
      <c r="U47" s="46">
        <v>-146</v>
      </c>
      <c r="V47" s="46">
        <v>-210</v>
      </c>
      <c r="W47" s="46">
        <v>-274</v>
      </c>
      <c r="X47" s="46">
        <v>-360</v>
      </c>
      <c r="Y47" s="54">
        <v>-480</v>
      </c>
      <c r="Z47" s="45">
        <v>2</v>
      </c>
      <c r="AA47" s="45">
        <v>3</v>
      </c>
      <c r="AB47" s="45">
        <v>5</v>
      </c>
      <c r="AC47" s="45">
        <v>6</v>
      </c>
      <c r="AD47" s="45">
        <v>11</v>
      </c>
      <c r="AE47" s="58">
        <v>16</v>
      </c>
    </row>
    <row r="48" spans="1:31" x14ac:dyDescent="0.25">
      <c r="A48" s="24" t="s">
        <v>138</v>
      </c>
      <c r="B48" s="18">
        <v>170</v>
      </c>
      <c r="C48" s="47">
        <v>120</v>
      </c>
      <c r="D48" s="47">
        <v>72</v>
      </c>
      <c r="E48" s="47">
        <v>36</v>
      </c>
      <c r="F48" s="47">
        <v>12</v>
      </c>
      <c r="G48" s="47">
        <v>0</v>
      </c>
      <c r="H48" s="325"/>
      <c r="I48" s="47">
        <v>16</v>
      </c>
      <c r="J48" s="47">
        <v>22</v>
      </c>
      <c r="K48" s="47">
        <v>34</v>
      </c>
      <c r="L48" s="60">
        <v>-3</v>
      </c>
      <c r="M48" s="60">
        <v>-13</v>
      </c>
      <c r="N48" s="60">
        <v>-23</v>
      </c>
      <c r="O48" s="325"/>
      <c r="P48" s="47">
        <v>-37</v>
      </c>
      <c r="Q48" s="46">
        <v>-51</v>
      </c>
      <c r="R48" s="46">
        <v>-71</v>
      </c>
      <c r="S48" s="46">
        <v>-91</v>
      </c>
      <c r="T48" s="46">
        <v>-124</v>
      </c>
      <c r="U48" s="46">
        <v>-178</v>
      </c>
      <c r="V48" s="46">
        <v>-258</v>
      </c>
      <c r="W48" s="46">
        <v>-335</v>
      </c>
      <c r="X48" s="46">
        <v>-445</v>
      </c>
      <c r="Y48" s="54">
        <v>-585</v>
      </c>
      <c r="Z48" s="45">
        <v>2</v>
      </c>
      <c r="AA48" s="45">
        <v>4</v>
      </c>
      <c r="AB48" s="45">
        <v>5</v>
      </c>
      <c r="AC48" s="45">
        <v>7</v>
      </c>
      <c r="AD48" s="45">
        <v>13</v>
      </c>
      <c r="AE48" s="58">
        <v>19</v>
      </c>
    </row>
    <row r="49" spans="1:31" x14ac:dyDescent="0.25">
      <c r="A49" s="24" t="s">
        <v>139</v>
      </c>
      <c r="B49" s="27">
        <v>180</v>
      </c>
      <c r="C49" s="47">
        <v>120</v>
      </c>
      <c r="D49" s="47">
        <v>72</v>
      </c>
      <c r="E49" s="47">
        <v>36</v>
      </c>
      <c r="F49" s="47">
        <v>12</v>
      </c>
      <c r="G49" s="47">
        <v>0</v>
      </c>
      <c r="H49" s="325"/>
      <c r="I49" s="47">
        <v>16</v>
      </c>
      <c r="J49" s="47">
        <v>22</v>
      </c>
      <c r="K49" s="47">
        <v>34</v>
      </c>
      <c r="L49" s="60">
        <v>-3</v>
      </c>
      <c r="M49" s="60">
        <v>-13</v>
      </c>
      <c r="N49" s="60">
        <v>-23</v>
      </c>
      <c r="O49" s="325"/>
      <c r="P49" s="47">
        <v>-37</v>
      </c>
      <c r="Q49" s="46">
        <v>-54</v>
      </c>
      <c r="R49" s="46">
        <v>-79</v>
      </c>
      <c r="S49" s="46">
        <v>-104</v>
      </c>
      <c r="T49" s="46">
        <v>-144</v>
      </c>
      <c r="U49" s="46">
        <v>-210</v>
      </c>
      <c r="V49" s="46">
        <v>-310</v>
      </c>
      <c r="W49" s="46">
        <v>-400</v>
      </c>
      <c r="X49" s="46">
        <v>-525</v>
      </c>
      <c r="Y49" s="54">
        <v>-690</v>
      </c>
      <c r="Z49" s="57">
        <v>2</v>
      </c>
      <c r="AA49" s="57">
        <v>4</v>
      </c>
      <c r="AB49" s="57">
        <v>5</v>
      </c>
      <c r="AC49" s="57">
        <v>7</v>
      </c>
      <c r="AD49" s="57">
        <v>13</v>
      </c>
      <c r="AE49" s="57">
        <v>19</v>
      </c>
    </row>
    <row r="50" spans="1:31" x14ac:dyDescent="0.25">
      <c r="A50" s="24" t="s">
        <v>140</v>
      </c>
      <c r="B50" s="27">
        <v>200</v>
      </c>
      <c r="C50" s="47">
        <v>145</v>
      </c>
      <c r="D50" s="47">
        <v>85</v>
      </c>
      <c r="E50" s="47">
        <v>43</v>
      </c>
      <c r="F50" s="47">
        <v>14</v>
      </c>
      <c r="G50" s="47">
        <v>0</v>
      </c>
      <c r="H50" s="325"/>
      <c r="I50" s="47">
        <v>18</v>
      </c>
      <c r="J50" s="47">
        <v>26</v>
      </c>
      <c r="K50" s="47">
        <v>41</v>
      </c>
      <c r="L50" s="60">
        <v>-3</v>
      </c>
      <c r="M50" s="60">
        <v>-15</v>
      </c>
      <c r="N50" s="60">
        <v>-27</v>
      </c>
      <c r="O50" s="325"/>
      <c r="P50" s="47">
        <v>-43</v>
      </c>
      <c r="Q50" s="46">
        <v>-63</v>
      </c>
      <c r="R50" s="46">
        <v>-92</v>
      </c>
      <c r="S50" s="46">
        <v>-122</v>
      </c>
      <c r="T50" s="46">
        <v>-170</v>
      </c>
      <c r="U50" s="46">
        <v>-248</v>
      </c>
      <c r="V50" s="46">
        <v>-365</v>
      </c>
      <c r="W50" s="46">
        <v>-470</v>
      </c>
      <c r="X50" s="46">
        <v>-620</v>
      </c>
      <c r="Y50" s="54">
        <v>-800</v>
      </c>
      <c r="Z50" s="57">
        <v>3</v>
      </c>
      <c r="AA50" s="57">
        <v>4</v>
      </c>
      <c r="AB50" s="57">
        <v>6</v>
      </c>
      <c r="AC50" s="57">
        <v>7</v>
      </c>
      <c r="AD50" s="57">
        <v>15</v>
      </c>
      <c r="AE50" s="57">
        <v>23</v>
      </c>
    </row>
    <row r="51" spans="1:31" x14ac:dyDescent="0.25">
      <c r="A51" s="24" t="s">
        <v>141</v>
      </c>
      <c r="B51" s="27">
        <v>210</v>
      </c>
      <c r="C51" s="47">
        <v>145</v>
      </c>
      <c r="D51" s="47">
        <v>85</v>
      </c>
      <c r="E51" s="47">
        <v>43</v>
      </c>
      <c r="F51" s="47">
        <v>14</v>
      </c>
      <c r="G51" s="47">
        <v>0</v>
      </c>
      <c r="H51" s="325"/>
      <c r="I51" s="47">
        <v>18</v>
      </c>
      <c r="J51" s="47">
        <v>26</v>
      </c>
      <c r="K51" s="47">
        <v>41</v>
      </c>
      <c r="L51" s="60">
        <v>-3</v>
      </c>
      <c r="M51" s="60">
        <v>-15</v>
      </c>
      <c r="N51" s="60">
        <v>-27</v>
      </c>
      <c r="O51" s="325"/>
      <c r="P51" s="47">
        <v>-43</v>
      </c>
      <c r="Q51" s="46">
        <v>-65</v>
      </c>
      <c r="R51" s="46">
        <v>-100</v>
      </c>
      <c r="S51" s="46">
        <v>-134</v>
      </c>
      <c r="T51" s="46">
        <v>-190</v>
      </c>
      <c r="U51" s="46">
        <v>-280</v>
      </c>
      <c r="V51" s="46">
        <v>-415</v>
      </c>
      <c r="W51" s="46">
        <v>-535</v>
      </c>
      <c r="X51" s="46">
        <v>-700</v>
      </c>
      <c r="Y51" s="54">
        <v>-900</v>
      </c>
      <c r="Z51" s="57">
        <v>3</v>
      </c>
      <c r="AA51" s="57">
        <v>4</v>
      </c>
      <c r="AB51" s="57">
        <v>6</v>
      </c>
      <c r="AC51" s="57">
        <v>7</v>
      </c>
      <c r="AD51" s="57">
        <v>15</v>
      </c>
      <c r="AE51" s="57">
        <v>23</v>
      </c>
    </row>
    <row r="52" spans="1:31" x14ac:dyDescent="0.25">
      <c r="A52" s="24" t="s">
        <v>142</v>
      </c>
      <c r="B52" s="27">
        <v>230</v>
      </c>
      <c r="C52" s="47">
        <v>145</v>
      </c>
      <c r="D52" s="47">
        <v>85</v>
      </c>
      <c r="E52" s="47">
        <v>43</v>
      </c>
      <c r="F52" s="47">
        <v>14</v>
      </c>
      <c r="G52" s="47">
        <v>0</v>
      </c>
      <c r="H52" s="325"/>
      <c r="I52" s="47">
        <v>18</v>
      </c>
      <c r="J52" s="47">
        <v>26</v>
      </c>
      <c r="K52" s="47">
        <v>41</v>
      </c>
      <c r="L52" s="60">
        <v>-3</v>
      </c>
      <c r="M52" s="60">
        <v>-15</v>
      </c>
      <c r="N52" s="60">
        <v>-27</v>
      </c>
      <c r="O52" s="325"/>
      <c r="P52" s="47">
        <v>-43</v>
      </c>
      <c r="Q52" s="46">
        <v>-68</v>
      </c>
      <c r="R52" s="46">
        <v>-108</v>
      </c>
      <c r="S52" s="46">
        <v>-146</v>
      </c>
      <c r="T52" s="46">
        <v>-210</v>
      </c>
      <c r="U52" s="46">
        <v>-310</v>
      </c>
      <c r="V52" s="46">
        <v>-465</v>
      </c>
      <c r="W52" s="46">
        <v>-600</v>
      </c>
      <c r="X52" s="46">
        <v>-780</v>
      </c>
      <c r="Y52" s="54">
        <v>-1000</v>
      </c>
      <c r="Z52" s="57">
        <v>3</v>
      </c>
      <c r="AA52" s="57">
        <v>4</v>
      </c>
      <c r="AB52" s="57">
        <v>6</v>
      </c>
      <c r="AC52" s="57">
        <v>7</v>
      </c>
      <c r="AD52" s="57">
        <v>15</v>
      </c>
      <c r="AE52" s="57">
        <v>23</v>
      </c>
    </row>
    <row r="53" spans="1:31" x14ac:dyDescent="0.25">
      <c r="A53" s="24" t="s">
        <v>143</v>
      </c>
      <c r="B53" s="27">
        <v>240</v>
      </c>
      <c r="C53" s="47">
        <v>170</v>
      </c>
      <c r="D53" s="47">
        <v>100</v>
      </c>
      <c r="E53" s="47">
        <v>50</v>
      </c>
      <c r="F53" s="47">
        <v>15</v>
      </c>
      <c r="G53" s="47">
        <v>0</v>
      </c>
      <c r="H53" s="325"/>
      <c r="I53" s="47">
        <v>22</v>
      </c>
      <c r="J53" s="47">
        <v>30</v>
      </c>
      <c r="K53" s="47">
        <v>47</v>
      </c>
      <c r="L53" s="60">
        <v>-4</v>
      </c>
      <c r="M53" s="60">
        <v>-17</v>
      </c>
      <c r="N53" s="60">
        <v>-31</v>
      </c>
      <c r="O53" s="325"/>
      <c r="P53" s="47">
        <v>-50</v>
      </c>
      <c r="Q53" s="46">
        <v>-77</v>
      </c>
      <c r="R53" s="46">
        <v>-122</v>
      </c>
      <c r="S53" s="46">
        <v>-166</v>
      </c>
      <c r="T53" s="46">
        <v>-236</v>
      </c>
      <c r="U53" s="46">
        <v>-350</v>
      </c>
      <c r="V53" s="46">
        <v>-520</v>
      </c>
      <c r="W53" s="46">
        <v>-670</v>
      </c>
      <c r="X53" s="46">
        <v>-880</v>
      </c>
      <c r="Y53" s="54">
        <v>-1150</v>
      </c>
      <c r="Z53" s="45">
        <v>3</v>
      </c>
      <c r="AA53" s="45">
        <v>4</v>
      </c>
      <c r="AB53" s="45">
        <v>6</v>
      </c>
      <c r="AC53" s="45">
        <v>9</v>
      </c>
      <c r="AD53" s="45">
        <v>17</v>
      </c>
      <c r="AE53" s="58">
        <v>26</v>
      </c>
    </row>
    <row r="54" spans="1:31" x14ac:dyDescent="0.25">
      <c r="A54" s="24" t="s">
        <v>144</v>
      </c>
      <c r="B54" s="27">
        <v>260</v>
      </c>
      <c r="C54" s="47">
        <v>170</v>
      </c>
      <c r="D54" s="47">
        <v>100</v>
      </c>
      <c r="E54" s="47">
        <v>50</v>
      </c>
      <c r="F54" s="47">
        <v>15</v>
      </c>
      <c r="G54" s="47">
        <v>0</v>
      </c>
      <c r="H54" s="325"/>
      <c r="I54" s="47">
        <v>22</v>
      </c>
      <c r="J54" s="47">
        <v>30</v>
      </c>
      <c r="K54" s="47">
        <v>47</v>
      </c>
      <c r="L54" s="60">
        <v>-4</v>
      </c>
      <c r="M54" s="60">
        <v>-17</v>
      </c>
      <c r="N54" s="60">
        <v>-31</v>
      </c>
      <c r="O54" s="325"/>
      <c r="P54" s="47">
        <v>-50</v>
      </c>
      <c r="Q54" s="46">
        <v>-80</v>
      </c>
      <c r="R54" s="46">
        <v>-130</v>
      </c>
      <c r="S54" s="46">
        <v>-180</v>
      </c>
      <c r="T54" s="46">
        <v>-258</v>
      </c>
      <c r="U54" s="46">
        <v>-385</v>
      </c>
      <c r="V54" s="46">
        <v>-575</v>
      </c>
      <c r="W54" s="46">
        <v>-740</v>
      </c>
      <c r="X54" s="46">
        <v>-960</v>
      </c>
      <c r="Y54" s="54">
        <v>-1250</v>
      </c>
      <c r="Z54" s="45">
        <v>3</v>
      </c>
      <c r="AA54" s="45">
        <v>4</v>
      </c>
      <c r="AB54" s="45">
        <v>6</v>
      </c>
      <c r="AC54" s="45">
        <v>9</v>
      </c>
      <c r="AD54" s="45">
        <v>17</v>
      </c>
      <c r="AE54" s="58">
        <v>26</v>
      </c>
    </row>
    <row r="55" spans="1:31" x14ac:dyDescent="0.25">
      <c r="A55" s="24" t="s">
        <v>145</v>
      </c>
      <c r="B55" s="27">
        <v>280</v>
      </c>
      <c r="C55" s="47">
        <v>170</v>
      </c>
      <c r="D55" s="47">
        <v>100</v>
      </c>
      <c r="E55" s="47">
        <v>50</v>
      </c>
      <c r="F55" s="47">
        <v>15</v>
      </c>
      <c r="G55" s="47">
        <v>0</v>
      </c>
      <c r="H55" s="325"/>
      <c r="I55" s="47">
        <v>22</v>
      </c>
      <c r="J55" s="47">
        <v>30</v>
      </c>
      <c r="K55" s="47">
        <v>47</v>
      </c>
      <c r="L55" s="60">
        <v>-4</v>
      </c>
      <c r="M55" s="60">
        <v>-17</v>
      </c>
      <c r="N55" s="60">
        <v>-31</v>
      </c>
      <c r="O55" s="325"/>
      <c r="P55" s="47">
        <v>-50</v>
      </c>
      <c r="Q55" s="46">
        <v>-84</v>
      </c>
      <c r="R55" s="46">
        <v>-140</v>
      </c>
      <c r="S55" s="46">
        <v>-196</v>
      </c>
      <c r="T55" s="46">
        <v>-284</v>
      </c>
      <c r="U55" s="46">
        <v>-425</v>
      </c>
      <c r="V55" s="46">
        <v>-640</v>
      </c>
      <c r="W55" s="46">
        <v>-820</v>
      </c>
      <c r="X55" s="46">
        <v>-1050</v>
      </c>
      <c r="Y55" s="54">
        <v>-1350</v>
      </c>
      <c r="Z55" s="45">
        <v>3</v>
      </c>
      <c r="AA55" s="45">
        <v>4</v>
      </c>
      <c r="AB55" s="45">
        <v>6</v>
      </c>
      <c r="AC55" s="45">
        <v>9</v>
      </c>
      <c r="AD55" s="45">
        <v>17</v>
      </c>
      <c r="AE55" s="58">
        <v>26</v>
      </c>
    </row>
    <row r="56" spans="1:31" x14ac:dyDescent="0.25">
      <c r="A56" s="24" t="s">
        <v>146</v>
      </c>
      <c r="B56" s="27">
        <v>300</v>
      </c>
      <c r="C56" s="47">
        <v>190</v>
      </c>
      <c r="D56" s="47">
        <v>110</v>
      </c>
      <c r="E56" s="47">
        <v>56</v>
      </c>
      <c r="F56" s="47">
        <v>17</v>
      </c>
      <c r="G56" s="47">
        <v>0</v>
      </c>
      <c r="H56" s="325"/>
      <c r="I56" s="47">
        <v>25</v>
      </c>
      <c r="J56" s="47">
        <v>36</v>
      </c>
      <c r="K56" s="47">
        <v>55</v>
      </c>
      <c r="L56" s="60">
        <v>-4</v>
      </c>
      <c r="M56" s="60">
        <v>-20</v>
      </c>
      <c r="N56" s="60">
        <v>-34</v>
      </c>
      <c r="O56" s="325"/>
      <c r="P56" s="47">
        <v>-56</v>
      </c>
      <c r="Q56" s="46">
        <v>-94</v>
      </c>
      <c r="R56" s="46">
        <v>-158</v>
      </c>
      <c r="S56" s="46">
        <v>-218</v>
      </c>
      <c r="T56" s="46">
        <v>-315</v>
      </c>
      <c r="U56" s="46">
        <v>-475</v>
      </c>
      <c r="V56" s="46">
        <v>-710</v>
      </c>
      <c r="W56" s="46">
        <v>-920</v>
      </c>
      <c r="X56" s="46">
        <v>-1200</v>
      </c>
      <c r="Y56" s="54">
        <v>-1550</v>
      </c>
      <c r="Z56" s="45">
        <v>4</v>
      </c>
      <c r="AA56" s="45">
        <v>4</v>
      </c>
      <c r="AB56" s="45">
        <v>7</v>
      </c>
      <c r="AC56" s="45">
        <v>9</v>
      </c>
      <c r="AD56" s="45">
        <v>20</v>
      </c>
      <c r="AE56" s="58">
        <v>29</v>
      </c>
    </row>
    <row r="57" spans="1:31" x14ac:dyDescent="0.25">
      <c r="A57" s="24" t="s">
        <v>147</v>
      </c>
      <c r="B57" s="27">
        <v>330</v>
      </c>
      <c r="C57" s="47">
        <v>190</v>
      </c>
      <c r="D57" s="47">
        <v>110</v>
      </c>
      <c r="E57" s="47">
        <v>56</v>
      </c>
      <c r="F57" s="47">
        <v>17</v>
      </c>
      <c r="G57" s="47">
        <v>0</v>
      </c>
      <c r="H57" s="325"/>
      <c r="I57" s="47">
        <v>25</v>
      </c>
      <c r="J57" s="47">
        <v>36</v>
      </c>
      <c r="K57" s="47">
        <v>55</v>
      </c>
      <c r="L57" s="60">
        <v>-4</v>
      </c>
      <c r="M57" s="60">
        <v>-20</v>
      </c>
      <c r="N57" s="60">
        <v>-34</v>
      </c>
      <c r="O57" s="325"/>
      <c r="P57" s="47">
        <v>-56</v>
      </c>
      <c r="Q57" s="46">
        <v>-98</v>
      </c>
      <c r="R57" s="46">
        <v>-170</v>
      </c>
      <c r="S57" s="46">
        <v>-240</v>
      </c>
      <c r="T57" s="46">
        <v>-350</v>
      </c>
      <c r="U57" s="46">
        <v>-525</v>
      </c>
      <c r="V57" s="46">
        <v>-790</v>
      </c>
      <c r="W57" s="46">
        <v>-1000</v>
      </c>
      <c r="X57" s="46">
        <v>-1300</v>
      </c>
      <c r="Y57" s="54">
        <v>-1700</v>
      </c>
      <c r="Z57" s="45">
        <v>4</v>
      </c>
      <c r="AA57" s="45">
        <v>4</v>
      </c>
      <c r="AB57" s="45">
        <v>7</v>
      </c>
      <c r="AC57" s="45">
        <v>9</v>
      </c>
      <c r="AD57" s="45">
        <v>20</v>
      </c>
      <c r="AE57" s="58">
        <v>29</v>
      </c>
    </row>
    <row r="58" spans="1:31" x14ac:dyDescent="0.25">
      <c r="A58" s="24" t="s">
        <v>148</v>
      </c>
      <c r="B58" s="27">
        <v>360</v>
      </c>
      <c r="C58" s="47">
        <v>210</v>
      </c>
      <c r="D58" s="47">
        <v>125</v>
      </c>
      <c r="E58" s="47">
        <v>62</v>
      </c>
      <c r="F58" s="47">
        <v>18</v>
      </c>
      <c r="G58" s="47">
        <v>0</v>
      </c>
      <c r="H58" s="325"/>
      <c r="I58" s="47">
        <v>29</v>
      </c>
      <c r="J58" s="47">
        <v>39</v>
      </c>
      <c r="K58" s="47">
        <v>60</v>
      </c>
      <c r="L58" s="60">
        <v>-4</v>
      </c>
      <c r="M58" s="60">
        <v>-21</v>
      </c>
      <c r="N58" s="60">
        <v>-37</v>
      </c>
      <c r="O58" s="325"/>
      <c r="P58" s="47">
        <v>-62</v>
      </c>
      <c r="Q58" s="46">
        <v>-108</v>
      </c>
      <c r="R58" s="46">
        <v>-190</v>
      </c>
      <c r="S58" s="46">
        <v>-268</v>
      </c>
      <c r="T58" s="46">
        <v>-390</v>
      </c>
      <c r="U58" s="46">
        <v>-590</v>
      </c>
      <c r="V58" s="46">
        <v>-900</v>
      </c>
      <c r="W58" s="46">
        <v>-1150</v>
      </c>
      <c r="X58" s="46">
        <v>-1500</v>
      </c>
      <c r="Y58" s="54">
        <v>-1900</v>
      </c>
      <c r="Z58" s="45">
        <v>4</v>
      </c>
      <c r="AA58" s="45">
        <v>5</v>
      </c>
      <c r="AB58" s="45">
        <v>7</v>
      </c>
      <c r="AC58" s="45">
        <v>11</v>
      </c>
      <c r="AD58" s="45">
        <v>21</v>
      </c>
      <c r="AE58" s="58">
        <v>32</v>
      </c>
    </row>
    <row r="59" spans="1:31" x14ac:dyDescent="0.25">
      <c r="A59" s="24" t="s">
        <v>149</v>
      </c>
      <c r="B59" s="27">
        <v>400</v>
      </c>
      <c r="C59" s="47">
        <v>210</v>
      </c>
      <c r="D59" s="47">
        <v>125</v>
      </c>
      <c r="E59" s="47">
        <v>62</v>
      </c>
      <c r="F59" s="47">
        <v>18</v>
      </c>
      <c r="G59" s="47">
        <v>0</v>
      </c>
      <c r="H59" s="325"/>
      <c r="I59" s="47">
        <v>29</v>
      </c>
      <c r="J59" s="47">
        <v>39</v>
      </c>
      <c r="K59" s="47">
        <v>60</v>
      </c>
      <c r="L59" s="60">
        <v>-4</v>
      </c>
      <c r="M59" s="60">
        <v>-21</v>
      </c>
      <c r="N59" s="60">
        <v>-37</v>
      </c>
      <c r="O59" s="325"/>
      <c r="P59" s="47">
        <v>-62</v>
      </c>
      <c r="Q59" s="46">
        <v>-114</v>
      </c>
      <c r="R59" s="46">
        <v>-208</v>
      </c>
      <c r="S59" s="46">
        <v>-294</v>
      </c>
      <c r="T59" s="46">
        <v>-435</v>
      </c>
      <c r="U59" s="46">
        <v>-660</v>
      </c>
      <c r="V59" s="46">
        <v>-1000</v>
      </c>
      <c r="W59" s="46">
        <v>-1300</v>
      </c>
      <c r="X59" s="46">
        <v>-1650</v>
      </c>
      <c r="Y59" s="54">
        <v>-2100</v>
      </c>
      <c r="Z59" s="45">
        <v>4</v>
      </c>
      <c r="AA59" s="45">
        <v>5</v>
      </c>
      <c r="AB59" s="45">
        <v>7</v>
      </c>
      <c r="AC59" s="45">
        <v>11</v>
      </c>
      <c r="AD59" s="45">
        <v>21</v>
      </c>
      <c r="AE59" s="58">
        <v>32</v>
      </c>
    </row>
    <row r="60" spans="1:31" x14ac:dyDescent="0.25">
      <c r="A60" s="25" t="s">
        <v>150</v>
      </c>
      <c r="B60" s="27">
        <v>440</v>
      </c>
      <c r="C60" s="47">
        <v>230</v>
      </c>
      <c r="D60" s="47">
        <v>135</v>
      </c>
      <c r="E60" s="47">
        <v>68</v>
      </c>
      <c r="F60" s="47">
        <v>20</v>
      </c>
      <c r="G60" s="47">
        <v>0</v>
      </c>
      <c r="H60" s="325"/>
      <c r="I60" s="47">
        <v>33</v>
      </c>
      <c r="J60" s="47">
        <v>43</v>
      </c>
      <c r="K60" s="47">
        <v>66</v>
      </c>
      <c r="L60" s="60">
        <v>-5</v>
      </c>
      <c r="M60" s="60">
        <v>-23</v>
      </c>
      <c r="N60" s="60">
        <v>-40</v>
      </c>
      <c r="O60" s="325"/>
      <c r="P60" s="47">
        <v>-68</v>
      </c>
      <c r="Q60" s="46">
        <v>-126</v>
      </c>
      <c r="R60" s="46">
        <v>-232</v>
      </c>
      <c r="S60" s="46">
        <v>-330</v>
      </c>
      <c r="T60" s="46">
        <v>-490</v>
      </c>
      <c r="U60" s="46">
        <v>-740</v>
      </c>
      <c r="V60" s="46">
        <v>-1100</v>
      </c>
      <c r="W60" s="46">
        <v>-1450</v>
      </c>
      <c r="X60" s="46">
        <v>-1850</v>
      </c>
      <c r="Y60" s="54">
        <v>-2400</v>
      </c>
      <c r="Z60" s="45">
        <v>5</v>
      </c>
      <c r="AA60" s="45">
        <v>5</v>
      </c>
      <c r="AB60" s="45">
        <v>7</v>
      </c>
      <c r="AC60" s="45">
        <v>13</v>
      </c>
      <c r="AD60" s="45">
        <v>23</v>
      </c>
      <c r="AE60" s="58">
        <v>34</v>
      </c>
    </row>
    <row r="61" spans="1:31" ht="15.75" thickBot="1" x14ac:dyDescent="0.3">
      <c r="A61" s="26" t="s">
        <v>151</v>
      </c>
      <c r="B61" s="29">
        <v>480</v>
      </c>
      <c r="C61" s="29">
        <v>230</v>
      </c>
      <c r="D61" s="29">
        <v>135</v>
      </c>
      <c r="E61" s="29">
        <v>68</v>
      </c>
      <c r="F61" s="29">
        <v>20</v>
      </c>
      <c r="G61" s="29">
        <v>0</v>
      </c>
      <c r="H61" s="326"/>
      <c r="I61" s="30">
        <v>33</v>
      </c>
      <c r="J61" s="29">
        <v>43</v>
      </c>
      <c r="K61" s="29">
        <v>66</v>
      </c>
      <c r="L61" s="75">
        <v>-5</v>
      </c>
      <c r="M61" s="75">
        <v>-23</v>
      </c>
      <c r="N61" s="75">
        <v>-40</v>
      </c>
      <c r="O61" s="326"/>
      <c r="P61" s="55">
        <v>-68</v>
      </c>
      <c r="Q61" s="55">
        <v>-132</v>
      </c>
      <c r="R61" s="55">
        <v>-252</v>
      </c>
      <c r="S61" s="55">
        <v>-360</v>
      </c>
      <c r="T61" s="55">
        <v>-540</v>
      </c>
      <c r="U61" s="55">
        <v>-820</v>
      </c>
      <c r="V61" s="55">
        <v>-1250</v>
      </c>
      <c r="W61" s="55">
        <v>-1600</v>
      </c>
      <c r="X61" s="55">
        <v>-2100</v>
      </c>
      <c r="Y61" s="56">
        <v>-2600</v>
      </c>
      <c r="Z61" s="76">
        <v>5</v>
      </c>
      <c r="AA61" s="76">
        <v>5</v>
      </c>
      <c r="AB61" s="76">
        <v>7</v>
      </c>
      <c r="AC61" s="76">
        <v>13</v>
      </c>
      <c r="AD61" s="76">
        <v>23</v>
      </c>
      <c r="AE61" s="77">
        <v>34</v>
      </c>
    </row>
    <row r="65" spans="1:24" ht="15.75" thickBot="1" x14ac:dyDescent="0.3"/>
    <row r="66" spans="1:24" ht="15.75" thickBot="1" x14ac:dyDescent="0.3">
      <c r="A66" s="274" t="s">
        <v>152</v>
      </c>
      <c r="B66" s="275"/>
      <c r="C66" s="275"/>
      <c r="D66" s="275"/>
      <c r="E66" s="275"/>
      <c r="F66" s="275"/>
      <c r="G66" s="275"/>
      <c r="H66" s="275"/>
      <c r="I66" s="275"/>
      <c r="J66" s="275"/>
      <c r="K66" s="275"/>
      <c r="L66" s="275"/>
      <c r="M66" s="275"/>
      <c r="N66" s="275"/>
      <c r="O66" s="275"/>
      <c r="P66" s="275"/>
      <c r="Q66" s="275"/>
      <c r="R66" s="275"/>
      <c r="S66" s="275"/>
      <c r="T66" s="275"/>
      <c r="U66" s="275"/>
      <c r="V66" s="275"/>
      <c r="W66" s="275"/>
      <c r="X66" s="277"/>
    </row>
    <row r="67" spans="1:24" ht="15" customHeight="1" x14ac:dyDescent="0.25">
      <c r="A67" s="310" t="s">
        <v>74</v>
      </c>
      <c r="B67" s="313" t="s">
        <v>153</v>
      </c>
      <c r="C67" s="314"/>
      <c r="D67" s="314"/>
      <c r="E67" s="314"/>
      <c r="F67" s="314"/>
      <c r="G67" s="314"/>
      <c r="H67" s="315"/>
      <c r="I67" s="313" t="s">
        <v>154</v>
      </c>
      <c r="J67" s="314"/>
      <c r="K67" s="314"/>
      <c r="L67" s="314"/>
      <c r="M67" s="314"/>
      <c r="N67" s="314"/>
      <c r="O67" s="314"/>
      <c r="P67" s="314"/>
      <c r="Q67" s="314"/>
      <c r="R67" s="314"/>
      <c r="S67" s="314"/>
      <c r="T67" s="314"/>
      <c r="U67" s="314"/>
      <c r="V67" s="314"/>
      <c r="W67" s="314"/>
      <c r="X67" s="315"/>
    </row>
    <row r="68" spans="1:24" ht="15.75" thickBot="1" x14ac:dyDescent="0.3">
      <c r="A68" s="311"/>
      <c r="B68" s="19" t="s">
        <v>155</v>
      </c>
      <c r="C68" s="23" t="s">
        <v>156</v>
      </c>
      <c r="D68" s="23" t="s">
        <v>157</v>
      </c>
      <c r="E68" s="23" t="s">
        <v>158</v>
      </c>
      <c r="F68" s="20" t="s">
        <v>159</v>
      </c>
      <c r="G68" s="20" t="s">
        <v>91</v>
      </c>
      <c r="H68" s="21" t="s">
        <v>92</v>
      </c>
      <c r="I68" s="327" t="s">
        <v>160</v>
      </c>
      <c r="J68" s="328"/>
      <c r="K68" s="327" t="s">
        <v>161</v>
      </c>
      <c r="L68" s="328"/>
      <c r="M68" s="44" t="s">
        <v>162</v>
      </c>
      <c r="N68" s="44" t="s">
        <v>95</v>
      </c>
      <c r="O68" s="44" t="s">
        <v>163</v>
      </c>
      <c r="P68" s="40" t="s">
        <v>164</v>
      </c>
      <c r="Q68" s="40" t="s">
        <v>165</v>
      </c>
      <c r="R68" s="40" t="s">
        <v>166</v>
      </c>
      <c r="S68" s="40" t="s">
        <v>167</v>
      </c>
      <c r="T68" s="40" t="s">
        <v>168</v>
      </c>
      <c r="U68" s="40" t="s">
        <v>169</v>
      </c>
      <c r="V68" s="40" t="s">
        <v>170</v>
      </c>
      <c r="W68" s="40" t="s">
        <v>171</v>
      </c>
      <c r="X68" s="41" t="s">
        <v>172</v>
      </c>
    </row>
    <row r="69" spans="1:24" x14ac:dyDescent="0.25">
      <c r="A69" s="311"/>
      <c r="B69" s="316" t="s">
        <v>125</v>
      </c>
      <c r="C69" s="317"/>
      <c r="D69" s="317"/>
      <c r="E69" s="317"/>
      <c r="F69" s="317"/>
      <c r="G69" s="317"/>
      <c r="H69" s="318"/>
      <c r="I69" s="322" t="s">
        <v>175</v>
      </c>
      <c r="J69" s="322" t="s">
        <v>54</v>
      </c>
      <c r="K69" s="329" t="s">
        <v>176</v>
      </c>
      <c r="L69" s="340" t="s">
        <v>177</v>
      </c>
      <c r="M69" s="316" t="s">
        <v>125</v>
      </c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8"/>
    </row>
    <row r="70" spans="1:24" ht="15.75" thickBot="1" x14ac:dyDescent="0.3">
      <c r="A70" s="312"/>
      <c r="B70" s="319"/>
      <c r="C70" s="320"/>
      <c r="D70" s="320"/>
      <c r="E70" s="320"/>
      <c r="F70" s="320"/>
      <c r="G70" s="320"/>
      <c r="H70" s="321"/>
      <c r="I70" s="323"/>
      <c r="J70" s="323"/>
      <c r="K70" s="330"/>
      <c r="L70" s="341"/>
      <c r="M70" s="319"/>
      <c r="N70" s="320"/>
      <c r="O70" s="320"/>
      <c r="P70" s="320"/>
      <c r="Q70" s="320"/>
      <c r="R70" s="320"/>
      <c r="S70" s="320"/>
      <c r="T70" s="320"/>
      <c r="U70" s="320"/>
      <c r="V70" s="320"/>
      <c r="W70" s="320"/>
      <c r="X70" s="321"/>
    </row>
    <row r="71" spans="1:24" x14ac:dyDescent="0.25">
      <c r="A71" s="50" t="s">
        <v>70</v>
      </c>
      <c r="B71" s="43">
        <v>-70</v>
      </c>
      <c r="C71" s="42">
        <v>-30</v>
      </c>
      <c r="D71" s="42">
        <v>-20</v>
      </c>
      <c r="E71" s="42">
        <v>-10</v>
      </c>
      <c r="F71" s="42">
        <v>-4</v>
      </c>
      <c r="G71" s="42">
        <v>0</v>
      </c>
      <c r="H71" s="337" t="s">
        <v>178</v>
      </c>
      <c r="I71" s="42">
        <v>-2</v>
      </c>
      <c r="J71" s="42">
        <v>-4</v>
      </c>
      <c r="K71" s="42">
        <v>1</v>
      </c>
      <c r="L71" s="42">
        <v>0</v>
      </c>
      <c r="M71" s="52">
        <v>4</v>
      </c>
      <c r="N71" s="52">
        <v>8</v>
      </c>
      <c r="O71" s="52">
        <v>12</v>
      </c>
      <c r="P71" s="52">
        <v>15</v>
      </c>
      <c r="Q71" s="52">
        <v>19</v>
      </c>
      <c r="R71" s="61" t="s">
        <v>181</v>
      </c>
      <c r="S71" s="52">
        <v>23</v>
      </c>
      <c r="T71" s="52">
        <v>28</v>
      </c>
      <c r="U71" s="52">
        <v>35</v>
      </c>
      <c r="V71" s="52">
        <v>42</v>
      </c>
      <c r="W71" s="46">
        <v>50</v>
      </c>
      <c r="X71" s="54">
        <v>80</v>
      </c>
    </row>
    <row r="72" spans="1:24" x14ac:dyDescent="0.25">
      <c r="A72" s="24" t="s">
        <v>71</v>
      </c>
      <c r="B72" s="27">
        <v>-80</v>
      </c>
      <c r="C72" s="22">
        <v>-40</v>
      </c>
      <c r="D72" s="22">
        <v>-25</v>
      </c>
      <c r="E72" s="22">
        <v>-13</v>
      </c>
      <c r="F72" s="22">
        <v>-5</v>
      </c>
      <c r="G72" s="22">
        <v>0</v>
      </c>
      <c r="H72" s="338"/>
      <c r="I72" s="22">
        <v>-2</v>
      </c>
      <c r="J72" s="22">
        <v>-5</v>
      </c>
      <c r="K72" s="22">
        <v>1</v>
      </c>
      <c r="L72" s="22">
        <v>0</v>
      </c>
      <c r="M72" s="46">
        <v>6</v>
      </c>
      <c r="N72" s="46">
        <v>10</v>
      </c>
      <c r="O72" s="46">
        <v>15</v>
      </c>
      <c r="P72" s="46">
        <v>19</v>
      </c>
      <c r="Q72" s="46">
        <v>23</v>
      </c>
      <c r="R72" s="65" t="s">
        <v>181</v>
      </c>
      <c r="S72" s="46">
        <v>28</v>
      </c>
      <c r="T72" s="46">
        <v>34</v>
      </c>
      <c r="U72" s="46">
        <v>42</v>
      </c>
      <c r="V72" s="46">
        <v>52</v>
      </c>
      <c r="W72" s="46">
        <v>67</v>
      </c>
      <c r="X72" s="54">
        <v>97</v>
      </c>
    </row>
    <row r="73" spans="1:24" x14ac:dyDescent="0.25">
      <c r="A73" s="24" t="s">
        <v>130</v>
      </c>
      <c r="B73" s="48">
        <v>-95</v>
      </c>
      <c r="C73" s="47">
        <v>-50</v>
      </c>
      <c r="D73" s="47">
        <v>-32</v>
      </c>
      <c r="E73" s="47">
        <v>-16</v>
      </c>
      <c r="F73" s="47">
        <v>-6</v>
      </c>
      <c r="G73" s="47">
        <v>0</v>
      </c>
      <c r="H73" s="338"/>
      <c r="I73" s="47">
        <v>-3</v>
      </c>
      <c r="J73" s="47">
        <v>-6</v>
      </c>
      <c r="K73" s="47">
        <v>1</v>
      </c>
      <c r="L73" s="47">
        <v>0</v>
      </c>
      <c r="M73" s="47">
        <v>7</v>
      </c>
      <c r="N73" s="47">
        <v>12</v>
      </c>
      <c r="O73" s="47">
        <v>18</v>
      </c>
      <c r="P73" s="47">
        <v>23</v>
      </c>
      <c r="Q73" s="47">
        <v>28</v>
      </c>
      <c r="R73" s="62" t="s">
        <v>181</v>
      </c>
      <c r="S73" s="47">
        <v>33</v>
      </c>
      <c r="T73" s="46">
        <v>40</v>
      </c>
      <c r="U73" s="46">
        <v>50</v>
      </c>
      <c r="V73" s="46">
        <v>64</v>
      </c>
      <c r="W73" s="46">
        <v>90</v>
      </c>
      <c r="X73" s="54">
        <v>130</v>
      </c>
    </row>
    <row r="74" spans="1:24" x14ac:dyDescent="0.25">
      <c r="A74" s="24" t="s">
        <v>131</v>
      </c>
      <c r="B74" s="48">
        <v>-95</v>
      </c>
      <c r="C74" s="47">
        <v>-50</v>
      </c>
      <c r="D74" s="47">
        <v>-32</v>
      </c>
      <c r="E74" s="47">
        <v>-16</v>
      </c>
      <c r="F74" s="47">
        <v>-6</v>
      </c>
      <c r="G74" s="47">
        <v>0</v>
      </c>
      <c r="H74" s="338"/>
      <c r="I74" s="47">
        <v>-3</v>
      </c>
      <c r="J74" s="47">
        <v>-6</v>
      </c>
      <c r="K74" s="47">
        <v>1</v>
      </c>
      <c r="L74" s="47">
        <v>0</v>
      </c>
      <c r="M74" s="47">
        <v>7</v>
      </c>
      <c r="N74" s="47">
        <v>12</v>
      </c>
      <c r="O74" s="47">
        <v>18</v>
      </c>
      <c r="P74" s="47">
        <v>23</v>
      </c>
      <c r="Q74" s="47">
        <v>28</v>
      </c>
      <c r="R74" s="62" t="s">
        <v>181</v>
      </c>
      <c r="S74" s="47">
        <v>33</v>
      </c>
      <c r="T74" s="46">
        <v>45</v>
      </c>
      <c r="U74" s="46">
        <v>60</v>
      </c>
      <c r="V74" s="46">
        <v>77</v>
      </c>
      <c r="W74" s="46">
        <v>108</v>
      </c>
      <c r="X74" s="54">
        <v>150</v>
      </c>
    </row>
    <row r="75" spans="1:24" x14ac:dyDescent="0.25">
      <c r="A75" s="24" t="s">
        <v>132</v>
      </c>
      <c r="B75" s="49">
        <v>-110</v>
      </c>
      <c r="C75" s="47">
        <v>-65</v>
      </c>
      <c r="D75" s="47">
        <v>-40</v>
      </c>
      <c r="E75" s="47">
        <v>-20</v>
      </c>
      <c r="F75" s="47">
        <v>-7</v>
      </c>
      <c r="G75" s="47">
        <v>0</v>
      </c>
      <c r="H75" s="338"/>
      <c r="I75" s="47">
        <v>-4</v>
      </c>
      <c r="J75" s="47">
        <v>-8</v>
      </c>
      <c r="K75" s="47">
        <v>2</v>
      </c>
      <c r="L75" s="47">
        <v>0</v>
      </c>
      <c r="M75" s="47">
        <v>8</v>
      </c>
      <c r="N75" s="47">
        <v>15</v>
      </c>
      <c r="O75" s="47">
        <v>22</v>
      </c>
      <c r="P75" s="47">
        <v>28</v>
      </c>
      <c r="Q75" s="47">
        <v>35</v>
      </c>
      <c r="R75" s="65" t="s">
        <v>181</v>
      </c>
      <c r="S75" s="46">
        <v>41</v>
      </c>
      <c r="T75" s="46">
        <v>54</v>
      </c>
      <c r="U75" s="46">
        <v>73</v>
      </c>
      <c r="V75" s="46">
        <v>98</v>
      </c>
      <c r="W75" s="46">
        <v>136</v>
      </c>
      <c r="X75" s="54">
        <v>188</v>
      </c>
    </row>
    <row r="76" spans="1:24" x14ac:dyDescent="0.25">
      <c r="A76" s="24" t="s">
        <v>133</v>
      </c>
      <c r="B76" s="49">
        <v>-110</v>
      </c>
      <c r="C76" s="47">
        <v>-65</v>
      </c>
      <c r="D76" s="47">
        <v>-40</v>
      </c>
      <c r="E76" s="47">
        <v>-20</v>
      </c>
      <c r="F76" s="47">
        <v>-7</v>
      </c>
      <c r="G76" s="47">
        <v>0</v>
      </c>
      <c r="H76" s="338"/>
      <c r="I76" s="47">
        <v>-4</v>
      </c>
      <c r="J76" s="47">
        <v>-8</v>
      </c>
      <c r="K76" s="47">
        <v>2</v>
      </c>
      <c r="L76" s="47">
        <v>0</v>
      </c>
      <c r="M76" s="47">
        <v>8</v>
      </c>
      <c r="N76" s="47">
        <v>15</v>
      </c>
      <c r="O76" s="47">
        <v>22</v>
      </c>
      <c r="P76" s="47">
        <v>28</v>
      </c>
      <c r="Q76" s="47">
        <v>35</v>
      </c>
      <c r="R76" s="46">
        <v>41</v>
      </c>
      <c r="S76" s="46">
        <v>48</v>
      </c>
      <c r="T76" s="46">
        <v>64</v>
      </c>
      <c r="U76" s="46">
        <v>88</v>
      </c>
      <c r="V76" s="46">
        <v>118</v>
      </c>
      <c r="W76" s="46">
        <v>160</v>
      </c>
      <c r="X76" s="54">
        <v>218</v>
      </c>
    </row>
    <row r="77" spans="1:24" x14ac:dyDescent="0.25">
      <c r="A77" s="24" t="s">
        <v>134</v>
      </c>
      <c r="B77" s="27">
        <v>-120</v>
      </c>
      <c r="C77" s="47">
        <v>-80</v>
      </c>
      <c r="D77" s="47">
        <v>-50</v>
      </c>
      <c r="E77" s="47">
        <v>-25</v>
      </c>
      <c r="F77" s="47">
        <v>-9</v>
      </c>
      <c r="G77" s="47">
        <v>0</v>
      </c>
      <c r="H77" s="338"/>
      <c r="I77" s="47">
        <v>-5</v>
      </c>
      <c r="J77" s="47">
        <v>-10</v>
      </c>
      <c r="K77" s="47">
        <v>2</v>
      </c>
      <c r="L77" s="47">
        <v>0</v>
      </c>
      <c r="M77" s="47">
        <v>9</v>
      </c>
      <c r="N77" s="47">
        <v>17</v>
      </c>
      <c r="O77" s="47">
        <v>26</v>
      </c>
      <c r="P77" s="47">
        <v>34</v>
      </c>
      <c r="Q77" s="47">
        <v>43</v>
      </c>
      <c r="R77" s="46">
        <v>48</v>
      </c>
      <c r="S77" s="46">
        <v>60</v>
      </c>
      <c r="T77" s="46">
        <v>80</v>
      </c>
      <c r="U77" s="46">
        <v>112</v>
      </c>
      <c r="V77" s="46">
        <v>148</v>
      </c>
      <c r="W77" s="46">
        <v>200</v>
      </c>
      <c r="X77" s="54">
        <v>274</v>
      </c>
    </row>
    <row r="78" spans="1:24" x14ac:dyDescent="0.25">
      <c r="A78" s="24" t="s">
        <v>135</v>
      </c>
      <c r="B78" s="27">
        <v>-130</v>
      </c>
      <c r="C78" s="47">
        <v>-80</v>
      </c>
      <c r="D78" s="47">
        <v>-50</v>
      </c>
      <c r="E78" s="47">
        <v>-25</v>
      </c>
      <c r="F78" s="47">
        <v>-9</v>
      </c>
      <c r="G78" s="47">
        <v>0</v>
      </c>
      <c r="H78" s="338"/>
      <c r="I78" s="47">
        <v>-5</v>
      </c>
      <c r="J78" s="47">
        <v>-10</v>
      </c>
      <c r="K78" s="47">
        <v>2</v>
      </c>
      <c r="L78" s="47">
        <v>0</v>
      </c>
      <c r="M78" s="47">
        <v>9</v>
      </c>
      <c r="N78" s="47">
        <v>17</v>
      </c>
      <c r="O78" s="47">
        <v>26</v>
      </c>
      <c r="P78" s="47">
        <v>34</v>
      </c>
      <c r="Q78" s="47">
        <v>43</v>
      </c>
      <c r="R78" s="46">
        <v>54</v>
      </c>
      <c r="S78" s="46">
        <v>70</v>
      </c>
      <c r="T78" s="46">
        <v>97</v>
      </c>
      <c r="U78" s="46">
        <v>136</v>
      </c>
      <c r="V78" s="46">
        <v>180</v>
      </c>
      <c r="W78" s="46">
        <v>242</v>
      </c>
      <c r="X78" s="54">
        <v>325</v>
      </c>
    </row>
    <row r="79" spans="1:24" x14ac:dyDescent="0.25">
      <c r="A79" s="24" t="s">
        <v>137</v>
      </c>
      <c r="B79" s="27">
        <v>-140</v>
      </c>
      <c r="C79" s="47">
        <v>-100</v>
      </c>
      <c r="D79" s="47">
        <v>-60</v>
      </c>
      <c r="E79" s="47">
        <v>-30</v>
      </c>
      <c r="F79" s="47">
        <v>-10</v>
      </c>
      <c r="G79" s="47">
        <v>0</v>
      </c>
      <c r="H79" s="338"/>
      <c r="I79" s="47">
        <v>-7</v>
      </c>
      <c r="J79" s="47">
        <v>-12</v>
      </c>
      <c r="K79" s="47">
        <v>2</v>
      </c>
      <c r="L79" s="47">
        <v>0</v>
      </c>
      <c r="M79" s="47">
        <v>11</v>
      </c>
      <c r="N79" s="47">
        <v>20</v>
      </c>
      <c r="O79" s="47">
        <v>32</v>
      </c>
      <c r="P79" s="46">
        <v>41</v>
      </c>
      <c r="Q79" s="46">
        <v>53</v>
      </c>
      <c r="R79" s="46">
        <v>66</v>
      </c>
      <c r="S79" s="46">
        <v>87</v>
      </c>
      <c r="T79" s="46">
        <v>122</v>
      </c>
      <c r="U79" s="46">
        <v>172</v>
      </c>
      <c r="V79" s="46">
        <v>226</v>
      </c>
      <c r="W79" s="46">
        <v>300</v>
      </c>
      <c r="X79" s="54">
        <v>405</v>
      </c>
    </row>
    <row r="80" spans="1:24" x14ac:dyDescent="0.25">
      <c r="A80" s="24" t="s">
        <v>136</v>
      </c>
      <c r="B80" s="27">
        <v>-150</v>
      </c>
      <c r="C80" s="47">
        <v>-100</v>
      </c>
      <c r="D80" s="47">
        <v>-60</v>
      </c>
      <c r="E80" s="47">
        <v>-30</v>
      </c>
      <c r="F80" s="47">
        <v>-10</v>
      </c>
      <c r="G80" s="47">
        <v>0</v>
      </c>
      <c r="H80" s="338"/>
      <c r="I80" s="47">
        <v>-7</v>
      </c>
      <c r="J80" s="47">
        <v>-12</v>
      </c>
      <c r="K80" s="47">
        <v>2</v>
      </c>
      <c r="L80" s="47">
        <v>0</v>
      </c>
      <c r="M80" s="47">
        <v>11</v>
      </c>
      <c r="N80" s="47">
        <v>20</v>
      </c>
      <c r="O80" s="47">
        <v>32</v>
      </c>
      <c r="P80" s="46">
        <v>43</v>
      </c>
      <c r="Q80" s="46">
        <v>59</v>
      </c>
      <c r="R80" s="46">
        <v>75</v>
      </c>
      <c r="S80" s="46">
        <v>102</v>
      </c>
      <c r="T80" s="46">
        <v>146</v>
      </c>
      <c r="U80" s="46">
        <v>210</v>
      </c>
      <c r="V80" s="46">
        <v>274</v>
      </c>
      <c r="W80" s="46">
        <v>360</v>
      </c>
      <c r="X80" s="54">
        <v>480</v>
      </c>
    </row>
    <row r="81" spans="1:24" x14ac:dyDescent="0.25">
      <c r="A81" s="24" t="s">
        <v>138</v>
      </c>
      <c r="B81" s="18">
        <v>-170</v>
      </c>
      <c r="C81" s="47">
        <v>-120</v>
      </c>
      <c r="D81" s="47">
        <v>-72</v>
      </c>
      <c r="E81" s="47">
        <v>-36</v>
      </c>
      <c r="F81" s="47">
        <v>-12</v>
      </c>
      <c r="G81" s="47">
        <v>0</v>
      </c>
      <c r="H81" s="338"/>
      <c r="I81" s="47">
        <v>-9</v>
      </c>
      <c r="J81" s="47">
        <v>-15</v>
      </c>
      <c r="K81" s="47">
        <v>3</v>
      </c>
      <c r="L81" s="47">
        <v>0</v>
      </c>
      <c r="M81" s="47">
        <v>13</v>
      </c>
      <c r="N81" s="47">
        <v>23</v>
      </c>
      <c r="O81" s="47">
        <v>37</v>
      </c>
      <c r="P81" s="46">
        <v>51</v>
      </c>
      <c r="Q81" s="46">
        <v>71</v>
      </c>
      <c r="R81" s="46">
        <v>91</v>
      </c>
      <c r="S81" s="46">
        <v>124</v>
      </c>
      <c r="T81" s="46">
        <v>178</v>
      </c>
      <c r="U81" s="46">
        <v>258</v>
      </c>
      <c r="V81" s="46">
        <v>335</v>
      </c>
      <c r="W81" s="46">
        <v>445</v>
      </c>
      <c r="X81" s="54">
        <v>585</v>
      </c>
    </row>
    <row r="82" spans="1:24" x14ac:dyDescent="0.25">
      <c r="A82" s="24" t="s">
        <v>139</v>
      </c>
      <c r="B82" s="27">
        <v>-180</v>
      </c>
      <c r="C82" s="47">
        <v>-120</v>
      </c>
      <c r="D82" s="47">
        <v>-72</v>
      </c>
      <c r="E82" s="47">
        <v>-36</v>
      </c>
      <c r="F82" s="47">
        <v>-12</v>
      </c>
      <c r="G82" s="47">
        <v>0</v>
      </c>
      <c r="H82" s="338"/>
      <c r="I82" s="47">
        <v>-9</v>
      </c>
      <c r="J82" s="47">
        <v>-15</v>
      </c>
      <c r="K82" s="47">
        <v>3</v>
      </c>
      <c r="L82" s="47">
        <v>0</v>
      </c>
      <c r="M82" s="47">
        <v>13</v>
      </c>
      <c r="N82" s="47">
        <v>23</v>
      </c>
      <c r="O82" s="47">
        <v>37</v>
      </c>
      <c r="P82" s="64">
        <v>54</v>
      </c>
      <c r="Q82" s="46">
        <v>79</v>
      </c>
      <c r="R82" s="46">
        <v>104</v>
      </c>
      <c r="S82" s="46">
        <v>144</v>
      </c>
      <c r="T82" s="46">
        <v>210</v>
      </c>
      <c r="U82" s="46">
        <v>310</v>
      </c>
      <c r="V82" s="46">
        <v>400</v>
      </c>
      <c r="W82" s="46">
        <v>525</v>
      </c>
      <c r="X82" s="54">
        <v>690</v>
      </c>
    </row>
    <row r="83" spans="1:24" x14ac:dyDescent="0.25">
      <c r="A83" s="24" t="s">
        <v>140</v>
      </c>
      <c r="B83" s="27">
        <v>-200</v>
      </c>
      <c r="C83" s="47">
        <v>-145</v>
      </c>
      <c r="D83" s="47">
        <v>-85</v>
      </c>
      <c r="E83" s="47">
        <v>-43</v>
      </c>
      <c r="F83" s="47">
        <v>-14</v>
      </c>
      <c r="G83" s="47">
        <v>0</v>
      </c>
      <c r="H83" s="338"/>
      <c r="I83" s="46">
        <v>-11</v>
      </c>
      <c r="J83" s="46">
        <v>-18</v>
      </c>
      <c r="K83" s="46">
        <v>3</v>
      </c>
      <c r="L83" s="46">
        <v>0</v>
      </c>
      <c r="M83" s="46">
        <v>15</v>
      </c>
      <c r="N83" s="46">
        <v>27</v>
      </c>
      <c r="O83" s="46">
        <v>43</v>
      </c>
      <c r="P83" s="46">
        <v>63</v>
      </c>
      <c r="Q83" s="46">
        <v>92</v>
      </c>
      <c r="R83" s="46">
        <v>122</v>
      </c>
      <c r="S83" s="46">
        <v>170</v>
      </c>
      <c r="T83" s="46">
        <v>248</v>
      </c>
      <c r="U83" s="46">
        <v>365</v>
      </c>
      <c r="V83" s="46">
        <v>470</v>
      </c>
      <c r="W83" s="46">
        <v>620</v>
      </c>
      <c r="X83" s="54">
        <v>800</v>
      </c>
    </row>
    <row r="84" spans="1:24" x14ac:dyDescent="0.25">
      <c r="A84" s="24" t="s">
        <v>141</v>
      </c>
      <c r="B84" s="27">
        <v>-210</v>
      </c>
      <c r="C84" s="47">
        <v>-145</v>
      </c>
      <c r="D84" s="47">
        <v>-85</v>
      </c>
      <c r="E84" s="47">
        <v>-43</v>
      </c>
      <c r="F84" s="47">
        <v>-14</v>
      </c>
      <c r="G84" s="47">
        <v>0</v>
      </c>
      <c r="H84" s="338"/>
      <c r="I84" s="46">
        <v>-11</v>
      </c>
      <c r="J84" s="46">
        <v>-18</v>
      </c>
      <c r="K84" s="46">
        <v>3</v>
      </c>
      <c r="L84" s="46">
        <v>0</v>
      </c>
      <c r="M84" s="46">
        <v>15</v>
      </c>
      <c r="N84" s="46">
        <v>27</v>
      </c>
      <c r="O84" s="46">
        <v>43</v>
      </c>
      <c r="P84" s="46">
        <v>65</v>
      </c>
      <c r="Q84" s="46">
        <v>100</v>
      </c>
      <c r="R84" s="46">
        <v>134</v>
      </c>
      <c r="S84" s="46">
        <v>190</v>
      </c>
      <c r="T84" s="46">
        <v>280</v>
      </c>
      <c r="U84" s="46">
        <v>415</v>
      </c>
      <c r="V84" s="46">
        <v>535</v>
      </c>
      <c r="W84" s="46">
        <v>700</v>
      </c>
      <c r="X84" s="54">
        <v>900</v>
      </c>
    </row>
    <row r="85" spans="1:24" x14ac:dyDescent="0.25">
      <c r="A85" s="24" t="s">
        <v>142</v>
      </c>
      <c r="B85" s="27">
        <v>-230</v>
      </c>
      <c r="C85" s="47">
        <v>-145</v>
      </c>
      <c r="D85" s="47">
        <v>-85</v>
      </c>
      <c r="E85" s="47">
        <v>-43</v>
      </c>
      <c r="F85" s="47">
        <v>-14</v>
      </c>
      <c r="G85" s="47">
        <v>0</v>
      </c>
      <c r="H85" s="338"/>
      <c r="I85" s="46">
        <v>-11</v>
      </c>
      <c r="J85" s="46">
        <v>-18</v>
      </c>
      <c r="K85" s="46">
        <v>3</v>
      </c>
      <c r="L85" s="46">
        <v>0</v>
      </c>
      <c r="M85" s="46">
        <v>15</v>
      </c>
      <c r="N85" s="46">
        <v>27</v>
      </c>
      <c r="O85" s="46">
        <v>43</v>
      </c>
      <c r="P85" s="46">
        <v>68</v>
      </c>
      <c r="Q85" s="46">
        <v>108</v>
      </c>
      <c r="R85" s="46">
        <v>146</v>
      </c>
      <c r="S85" s="46">
        <v>210</v>
      </c>
      <c r="T85" s="46">
        <v>310</v>
      </c>
      <c r="U85" s="46">
        <v>465</v>
      </c>
      <c r="V85" s="46">
        <v>600</v>
      </c>
      <c r="W85" s="46">
        <v>780</v>
      </c>
      <c r="X85" s="54">
        <v>1000</v>
      </c>
    </row>
    <row r="86" spans="1:24" x14ac:dyDescent="0.25">
      <c r="A86" s="24" t="s">
        <v>143</v>
      </c>
      <c r="B86" s="27">
        <v>-240</v>
      </c>
      <c r="C86" s="47">
        <v>-170</v>
      </c>
      <c r="D86" s="47">
        <v>-100</v>
      </c>
      <c r="E86" s="47">
        <v>-50</v>
      </c>
      <c r="F86" s="47">
        <v>-15</v>
      </c>
      <c r="G86" s="47">
        <v>0</v>
      </c>
      <c r="H86" s="338"/>
      <c r="I86" s="46">
        <v>-13</v>
      </c>
      <c r="J86" s="46">
        <v>-21</v>
      </c>
      <c r="K86" s="46">
        <v>4</v>
      </c>
      <c r="L86" s="46">
        <v>0</v>
      </c>
      <c r="M86" s="46">
        <v>17</v>
      </c>
      <c r="N86" s="46">
        <v>31</v>
      </c>
      <c r="O86" s="46">
        <v>50</v>
      </c>
      <c r="P86" s="46">
        <v>77</v>
      </c>
      <c r="Q86" s="46">
        <v>122</v>
      </c>
      <c r="R86" s="46">
        <v>166</v>
      </c>
      <c r="S86" s="46">
        <v>236</v>
      </c>
      <c r="T86" s="46">
        <v>350</v>
      </c>
      <c r="U86" s="46">
        <v>520</v>
      </c>
      <c r="V86" s="46">
        <v>670</v>
      </c>
      <c r="W86" s="46">
        <v>880</v>
      </c>
      <c r="X86" s="54">
        <v>1150</v>
      </c>
    </row>
    <row r="87" spans="1:24" x14ac:dyDescent="0.25">
      <c r="A87" s="24" t="s">
        <v>144</v>
      </c>
      <c r="B87" s="27">
        <v>-260</v>
      </c>
      <c r="C87" s="47">
        <v>-170</v>
      </c>
      <c r="D87" s="47">
        <v>-100</v>
      </c>
      <c r="E87" s="47">
        <v>-50</v>
      </c>
      <c r="F87" s="47">
        <v>-15</v>
      </c>
      <c r="G87" s="47">
        <v>0</v>
      </c>
      <c r="H87" s="338"/>
      <c r="I87" s="46">
        <v>-13</v>
      </c>
      <c r="J87" s="46">
        <v>-21</v>
      </c>
      <c r="K87" s="46">
        <v>4</v>
      </c>
      <c r="L87" s="46">
        <v>0</v>
      </c>
      <c r="M87" s="46">
        <v>17</v>
      </c>
      <c r="N87" s="46">
        <v>31</v>
      </c>
      <c r="O87" s="46">
        <v>50</v>
      </c>
      <c r="P87" s="46">
        <v>80</v>
      </c>
      <c r="Q87" s="46">
        <v>130</v>
      </c>
      <c r="R87" s="46">
        <v>180</v>
      </c>
      <c r="S87" s="46">
        <v>258</v>
      </c>
      <c r="T87" s="46">
        <v>385</v>
      </c>
      <c r="U87" s="46">
        <v>575</v>
      </c>
      <c r="V87" s="46">
        <v>740</v>
      </c>
      <c r="W87" s="46">
        <v>960</v>
      </c>
      <c r="X87" s="54">
        <v>1250</v>
      </c>
    </row>
    <row r="88" spans="1:24" x14ac:dyDescent="0.25">
      <c r="A88" s="24" t="s">
        <v>145</v>
      </c>
      <c r="B88" s="27">
        <v>-280</v>
      </c>
      <c r="C88" s="47">
        <v>-170</v>
      </c>
      <c r="D88" s="47">
        <v>-100</v>
      </c>
      <c r="E88" s="47">
        <v>-50</v>
      </c>
      <c r="F88" s="47">
        <v>-15</v>
      </c>
      <c r="G88" s="47">
        <v>0</v>
      </c>
      <c r="H88" s="338"/>
      <c r="I88" s="46">
        <v>-13</v>
      </c>
      <c r="J88" s="46">
        <v>-21</v>
      </c>
      <c r="K88" s="46">
        <v>4</v>
      </c>
      <c r="L88" s="46">
        <v>0</v>
      </c>
      <c r="M88" s="46">
        <v>17</v>
      </c>
      <c r="N88" s="46">
        <v>31</v>
      </c>
      <c r="O88" s="46">
        <v>50</v>
      </c>
      <c r="P88" s="46">
        <v>84</v>
      </c>
      <c r="Q88" s="46">
        <v>140</v>
      </c>
      <c r="R88" s="46">
        <v>196</v>
      </c>
      <c r="S88" s="46">
        <v>284</v>
      </c>
      <c r="T88" s="46">
        <v>425</v>
      </c>
      <c r="U88" s="46">
        <v>640</v>
      </c>
      <c r="V88" s="46">
        <v>820</v>
      </c>
      <c r="W88" s="46">
        <v>1050</v>
      </c>
      <c r="X88" s="54">
        <v>1350</v>
      </c>
    </row>
    <row r="89" spans="1:24" x14ac:dyDescent="0.25">
      <c r="A89" s="24" t="s">
        <v>146</v>
      </c>
      <c r="B89" s="27">
        <v>-300</v>
      </c>
      <c r="C89" s="47">
        <v>-190</v>
      </c>
      <c r="D89" s="47">
        <v>-110</v>
      </c>
      <c r="E89" s="47">
        <v>-56</v>
      </c>
      <c r="F89" s="47">
        <v>-17</v>
      </c>
      <c r="G89" s="47">
        <v>0</v>
      </c>
      <c r="H89" s="338"/>
      <c r="I89" s="47">
        <v>-16</v>
      </c>
      <c r="J89" s="47">
        <v>-26</v>
      </c>
      <c r="K89" s="47">
        <v>4</v>
      </c>
      <c r="L89" s="47">
        <v>0</v>
      </c>
      <c r="M89" s="47">
        <v>20</v>
      </c>
      <c r="N89" s="47">
        <v>34</v>
      </c>
      <c r="O89" s="47">
        <v>56</v>
      </c>
      <c r="P89" s="46">
        <v>94</v>
      </c>
      <c r="Q89" s="46">
        <v>158</v>
      </c>
      <c r="R89" s="46">
        <v>218</v>
      </c>
      <c r="S89" s="46">
        <v>315</v>
      </c>
      <c r="T89" s="46">
        <v>475</v>
      </c>
      <c r="U89" s="46">
        <v>710</v>
      </c>
      <c r="V89" s="46">
        <v>920</v>
      </c>
      <c r="W89" s="46">
        <v>1200</v>
      </c>
      <c r="X89" s="54">
        <v>1550</v>
      </c>
    </row>
    <row r="90" spans="1:24" x14ac:dyDescent="0.25">
      <c r="A90" s="24" t="s">
        <v>147</v>
      </c>
      <c r="B90" s="27">
        <v>-330</v>
      </c>
      <c r="C90" s="47">
        <v>-190</v>
      </c>
      <c r="D90" s="47">
        <v>-110</v>
      </c>
      <c r="E90" s="47">
        <v>-56</v>
      </c>
      <c r="F90" s="47">
        <v>-17</v>
      </c>
      <c r="G90" s="47">
        <v>0</v>
      </c>
      <c r="H90" s="338"/>
      <c r="I90" s="47">
        <v>-16</v>
      </c>
      <c r="J90" s="47">
        <v>-26</v>
      </c>
      <c r="K90" s="47">
        <v>4</v>
      </c>
      <c r="L90" s="47">
        <v>0</v>
      </c>
      <c r="M90" s="47">
        <v>20</v>
      </c>
      <c r="N90" s="47">
        <v>34</v>
      </c>
      <c r="O90" s="47">
        <v>56</v>
      </c>
      <c r="P90" s="46">
        <v>98</v>
      </c>
      <c r="Q90" s="46">
        <v>170</v>
      </c>
      <c r="R90" s="46">
        <v>240</v>
      </c>
      <c r="S90" s="46">
        <v>350</v>
      </c>
      <c r="T90" s="46">
        <v>525</v>
      </c>
      <c r="U90" s="46">
        <v>790</v>
      </c>
      <c r="V90" s="46">
        <v>1000</v>
      </c>
      <c r="W90" s="46">
        <v>1300</v>
      </c>
      <c r="X90" s="54">
        <v>1700</v>
      </c>
    </row>
    <row r="91" spans="1:24" x14ac:dyDescent="0.25">
      <c r="A91" s="24" t="s">
        <v>148</v>
      </c>
      <c r="B91" s="27">
        <v>-360</v>
      </c>
      <c r="C91" s="47">
        <v>-210</v>
      </c>
      <c r="D91" s="47">
        <v>-125</v>
      </c>
      <c r="E91" s="47">
        <v>-62</v>
      </c>
      <c r="F91" s="47">
        <v>-18</v>
      </c>
      <c r="G91" s="47">
        <v>0</v>
      </c>
      <c r="H91" s="338"/>
      <c r="I91" s="47">
        <v>-18</v>
      </c>
      <c r="J91" s="47">
        <v>-28</v>
      </c>
      <c r="K91" s="47">
        <v>4</v>
      </c>
      <c r="L91" s="47">
        <v>0</v>
      </c>
      <c r="M91" s="47">
        <v>21</v>
      </c>
      <c r="N91" s="47">
        <v>37</v>
      </c>
      <c r="O91" s="47">
        <v>62</v>
      </c>
      <c r="P91" s="46">
        <v>108</v>
      </c>
      <c r="Q91" s="46">
        <v>190</v>
      </c>
      <c r="R91" s="46">
        <v>268</v>
      </c>
      <c r="S91" s="46">
        <v>390</v>
      </c>
      <c r="T91" s="46">
        <v>590</v>
      </c>
      <c r="U91" s="46">
        <v>900</v>
      </c>
      <c r="V91" s="46">
        <v>1150</v>
      </c>
      <c r="W91" s="46">
        <v>1500</v>
      </c>
      <c r="X91" s="54">
        <v>1900</v>
      </c>
    </row>
    <row r="92" spans="1:24" x14ac:dyDescent="0.25">
      <c r="A92" s="24" t="s">
        <v>149</v>
      </c>
      <c r="B92" s="27">
        <v>-400</v>
      </c>
      <c r="C92" s="47">
        <v>-210</v>
      </c>
      <c r="D92" s="47">
        <v>-125</v>
      </c>
      <c r="E92" s="47">
        <v>-62</v>
      </c>
      <c r="F92" s="47">
        <v>-18</v>
      </c>
      <c r="G92" s="47">
        <v>0</v>
      </c>
      <c r="H92" s="338"/>
      <c r="I92" s="47">
        <v>-18</v>
      </c>
      <c r="J92" s="47">
        <v>-28</v>
      </c>
      <c r="K92" s="47">
        <v>4</v>
      </c>
      <c r="L92" s="47">
        <v>0</v>
      </c>
      <c r="M92" s="47">
        <v>21</v>
      </c>
      <c r="N92" s="47">
        <v>37</v>
      </c>
      <c r="O92" s="47">
        <v>62</v>
      </c>
      <c r="P92" s="46">
        <v>114</v>
      </c>
      <c r="Q92" s="46">
        <v>208</v>
      </c>
      <c r="R92" s="46">
        <v>294</v>
      </c>
      <c r="S92" s="46">
        <v>435</v>
      </c>
      <c r="T92" s="46">
        <v>660</v>
      </c>
      <c r="U92" s="46">
        <v>1000</v>
      </c>
      <c r="V92" s="46">
        <v>1300</v>
      </c>
      <c r="W92" s="46">
        <v>1650</v>
      </c>
      <c r="X92" s="54">
        <v>2100</v>
      </c>
    </row>
    <row r="93" spans="1:24" x14ac:dyDescent="0.25">
      <c r="A93" s="25" t="s">
        <v>150</v>
      </c>
      <c r="B93" s="27">
        <v>-440</v>
      </c>
      <c r="C93" s="47">
        <v>-230</v>
      </c>
      <c r="D93" s="47">
        <v>-135</v>
      </c>
      <c r="E93" s="47">
        <v>-68</v>
      </c>
      <c r="F93" s="47">
        <v>-20</v>
      </c>
      <c r="G93" s="47">
        <v>0</v>
      </c>
      <c r="H93" s="338"/>
      <c r="I93" s="74">
        <v>-20</v>
      </c>
      <c r="J93" s="74">
        <v>-32</v>
      </c>
      <c r="K93" s="74">
        <v>5</v>
      </c>
      <c r="L93" s="74">
        <v>0</v>
      </c>
      <c r="M93" s="47">
        <v>23</v>
      </c>
      <c r="N93" s="47">
        <v>40</v>
      </c>
      <c r="O93" s="47">
        <v>68</v>
      </c>
      <c r="P93" s="46">
        <v>126</v>
      </c>
      <c r="Q93" s="46">
        <v>232</v>
      </c>
      <c r="R93" s="46">
        <v>330</v>
      </c>
      <c r="S93" s="46">
        <v>490</v>
      </c>
      <c r="T93" s="46">
        <v>740</v>
      </c>
      <c r="U93" s="46">
        <v>1100</v>
      </c>
      <c r="V93" s="46">
        <v>1450</v>
      </c>
      <c r="W93" s="46">
        <v>1850</v>
      </c>
      <c r="X93" s="54">
        <v>2400</v>
      </c>
    </row>
    <row r="94" spans="1:24" ht="15.75" thickBot="1" x14ac:dyDescent="0.3">
      <c r="A94" s="26" t="s">
        <v>151</v>
      </c>
      <c r="B94" s="29">
        <v>-480</v>
      </c>
      <c r="C94" s="55">
        <v>-230</v>
      </c>
      <c r="D94" s="55">
        <v>-135</v>
      </c>
      <c r="E94" s="55">
        <v>-68</v>
      </c>
      <c r="F94" s="55">
        <v>-20</v>
      </c>
      <c r="G94" s="55">
        <v>0</v>
      </c>
      <c r="H94" s="339"/>
      <c r="I94" s="30">
        <v>-20</v>
      </c>
      <c r="J94" s="30">
        <v>-32</v>
      </c>
      <c r="K94" s="30">
        <v>5</v>
      </c>
      <c r="L94" s="30">
        <v>0</v>
      </c>
      <c r="M94" s="55">
        <v>23</v>
      </c>
      <c r="N94" s="55">
        <v>40</v>
      </c>
      <c r="O94" s="55">
        <v>68</v>
      </c>
      <c r="P94" s="55">
        <v>132</v>
      </c>
      <c r="Q94" s="55">
        <v>252</v>
      </c>
      <c r="R94" s="55">
        <v>360</v>
      </c>
      <c r="S94" s="55">
        <v>540</v>
      </c>
      <c r="T94" s="55">
        <v>820</v>
      </c>
      <c r="U94" s="55">
        <v>1250</v>
      </c>
      <c r="V94" s="55">
        <v>1600</v>
      </c>
      <c r="W94" s="55">
        <v>2100</v>
      </c>
      <c r="X94" s="56">
        <v>2600</v>
      </c>
    </row>
    <row r="99" spans="2:19" ht="15.75" thickBot="1" x14ac:dyDescent="0.3"/>
    <row r="100" spans="2:19" ht="15.75" thickBot="1" x14ac:dyDescent="0.3">
      <c r="B100" s="274" t="s">
        <v>203</v>
      </c>
      <c r="C100" s="275"/>
      <c r="D100" s="276"/>
      <c r="E100" s="276"/>
      <c r="F100" s="276"/>
      <c r="G100" s="276"/>
      <c r="H100" s="276"/>
      <c r="I100" s="276"/>
      <c r="J100" s="276"/>
      <c r="K100" s="276"/>
      <c r="L100" s="276"/>
      <c r="M100" s="276"/>
      <c r="N100" s="276"/>
      <c r="O100" s="275"/>
      <c r="P100" s="275"/>
      <c r="Q100" s="275"/>
      <c r="R100" s="275"/>
      <c r="S100" s="277"/>
    </row>
    <row r="101" spans="2:19" x14ac:dyDescent="0.25">
      <c r="B101" s="280" t="s">
        <v>204</v>
      </c>
      <c r="C101" s="281"/>
      <c r="D101" s="270" t="s">
        <v>205</v>
      </c>
      <c r="E101" s="278"/>
      <c r="F101" s="278"/>
      <c r="G101" s="278"/>
      <c r="H101" s="278"/>
      <c r="I101" s="278"/>
      <c r="J101" s="278"/>
      <c r="K101" s="278"/>
      <c r="L101" s="270" t="s">
        <v>217</v>
      </c>
      <c r="M101" s="278"/>
      <c r="N101" s="271"/>
      <c r="O101" s="278" t="s">
        <v>219</v>
      </c>
      <c r="P101" s="278"/>
      <c r="Q101" s="278"/>
      <c r="R101" s="278"/>
      <c r="S101" s="271"/>
    </row>
    <row r="102" spans="2:19" ht="15.75" thickBot="1" x14ac:dyDescent="0.3">
      <c r="B102" s="282"/>
      <c r="C102" s="283"/>
      <c r="D102" s="272"/>
      <c r="E102" s="279"/>
      <c r="F102" s="279"/>
      <c r="G102" s="279"/>
      <c r="H102" s="279"/>
      <c r="I102" s="279"/>
      <c r="J102" s="279"/>
      <c r="K102" s="279"/>
      <c r="L102" s="272"/>
      <c r="M102" s="279"/>
      <c r="N102" s="273"/>
      <c r="O102" s="279"/>
      <c r="P102" s="279"/>
      <c r="Q102" s="279"/>
      <c r="R102" s="279"/>
      <c r="S102" s="273"/>
    </row>
    <row r="103" spans="2:19" ht="30.75" thickBot="1" x14ac:dyDescent="0.3">
      <c r="B103" s="108"/>
      <c r="D103" s="103" t="s">
        <v>207</v>
      </c>
      <c r="E103" s="103" t="s">
        <v>206</v>
      </c>
      <c r="F103" s="103" t="s">
        <v>208</v>
      </c>
      <c r="G103" s="103" t="s">
        <v>209</v>
      </c>
      <c r="H103" s="103" t="s">
        <v>210</v>
      </c>
      <c r="I103" s="103" t="s">
        <v>211</v>
      </c>
      <c r="J103" s="103" t="s">
        <v>212</v>
      </c>
      <c r="K103" s="135" t="s">
        <v>213</v>
      </c>
      <c r="L103" s="137" t="s">
        <v>207</v>
      </c>
      <c r="M103" s="103" t="s">
        <v>206</v>
      </c>
      <c r="N103" s="138" t="s">
        <v>218</v>
      </c>
      <c r="O103" s="136" t="s">
        <v>220</v>
      </c>
      <c r="P103" s="106" t="s">
        <v>221</v>
      </c>
      <c r="Q103" s="106" t="s">
        <v>222</v>
      </c>
      <c r="R103" s="106" t="s">
        <v>210</v>
      </c>
      <c r="S103" s="109" t="s">
        <v>223</v>
      </c>
    </row>
    <row r="104" spans="2:19" x14ac:dyDescent="0.25">
      <c r="B104" s="108" t="s">
        <v>214</v>
      </c>
      <c r="D104" s="104">
        <v>0.05</v>
      </c>
      <c r="E104" s="104">
        <v>0.05</v>
      </c>
      <c r="F104" s="105">
        <v>0.1</v>
      </c>
      <c r="G104" s="104">
        <v>0.15</v>
      </c>
      <c r="H104" s="104">
        <v>0.2</v>
      </c>
      <c r="I104" s="104">
        <v>0.3</v>
      </c>
      <c r="J104" s="104">
        <v>0.5</v>
      </c>
      <c r="K104" s="157" t="s">
        <v>181</v>
      </c>
      <c r="L104" s="133">
        <v>0.2</v>
      </c>
      <c r="M104" s="104">
        <v>0.5</v>
      </c>
      <c r="N104" s="110">
        <v>1</v>
      </c>
      <c r="O104" s="102" t="s">
        <v>224</v>
      </c>
      <c r="P104" s="105" t="s">
        <v>228</v>
      </c>
      <c r="Q104" s="105" t="s">
        <v>229</v>
      </c>
      <c r="R104" s="105" t="s">
        <v>230</v>
      </c>
      <c r="S104" s="110" t="s">
        <v>231</v>
      </c>
    </row>
    <row r="105" spans="2:19" x14ac:dyDescent="0.25">
      <c r="B105" s="108" t="s">
        <v>260</v>
      </c>
      <c r="D105" s="105">
        <v>0.1</v>
      </c>
      <c r="E105" s="105">
        <v>0.1</v>
      </c>
      <c r="F105" s="105">
        <v>0.2</v>
      </c>
      <c r="G105" s="105">
        <v>0.3</v>
      </c>
      <c r="H105" s="105">
        <v>0.5</v>
      </c>
      <c r="I105" s="105">
        <v>0.8</v>
      </c>
      <c r="J105" s="105">
        <v>1.2</v>
      </c>
      <c r="K105" s="101">
        <v>2</v>
      </c>
      <c r="L105" s="133">
        <v>0.2</v>
      </c>
      <c r="M105" s="105">
        <v>0.5</v>
      </c>
      <c r="N105" s="110">
        <v>1</v>
      </c>
      <c r="O105" s="102" t="s">
        <v>224</v>
      </c>
      <c r="P105" s="105" t="s">
        <v>228</v>
      </c>
      <c r="Q105" s="105" t="s">
        <v>229</v>
      </c>
      <c r="R105" s="105" t="s">
        <v>230</v>
      </c>
      <c r="S105" s="110" t="s">
        <v>231</v>
      </c>
    </row>
    <row r="106" spans="2:19" x14ac:dyDescent="0.25">
      <c r="B106" s="108" t="s">
        <v>215</v>
      </c>
      <c r="D106" s="105">
        <v>0.2</v>
      </c>
      <c r="E106" s="105">
        <v>0.3</v>
      </c>
      <c r="F106" s="105">
        <v>0.5</v>
      </c>
      <c r="G106" s="105">
        <v>0.8</v>
      </c>
      <c r="H106" s="105">
        <v>1.2</v>
      </c>
      <c r="I106" s="105">
        <v>2</v>
      </c>
      <c r="J106" s="105">
        <v>3</v>
      </c>
      <c r="K106" s="101">
        <v>4</v>
      </c>
      <c r="L106" s="133">
        <v>0.4</v>
      </c>
      <c r="M106" s="105">
        <v>1</v>
      </c>
      <c r="N106" s="110">
        <v>2</v>
      </c>
      <c r="O106" s="102" t="s">
        <v>226</v>
      </c>
      <c r="P106" s="105" t="s">
        <v>224</v>
      </c>
      <c r="Q106" s="105" t="s">
        <v>228</v>
      </c>
      <c r="R106" s="105" t="s">
        <v>232</v>
      </c>
      <c r="S106" s="110" t="s">
        <v>230</v>
      </c>
    </row>
    <row r="107" spans="2:19" ht="15.75" thickBot="1" x14ac:dyDescent="0.3">
      <c r="B107" s="111" t="s">
        <v>216</v>
      </c>
      <c r="C107" s="112"/>
      <c r="D107" s="156" t="s">
        <v>181</v>
      </c>
      <c r="E107" s="113">
        <v>0.5</v>
      </c>
      <c r="F107" s="113">
        <v>1</v>
      </c>
      <c r="G107" s="113">
        <v>1.5</v>
      </c>
      <c r="H107" s="113">
        <v>2.5</v>
      </c>
      <c r="I107" s="113">
        <v>4</v>
      </c>
      <c r="J107" s="113">
        <v>6</v>
      </c>
      <c r="K107" s="126">
        <v>8</v>
      </c>
      <c r="L107" s="134">
        <v>0.4</v>
      </c>
      <c r="M107" s="113">
        <v>1</v>
      </c>
      <c r="N107" s="114">
        <v>2</v>
      </c>
      <c r="O107" s="129" t="s">
        <v>227</v>
      </c>
      <c r="P107" s="113" t="s">
        <v>225</v>
      </c>
      <c r="Q107" s="113" t="s">
        <v>224</v>
      </c>
      <c r="R107" s="113" t="s">
        <v>228</v>
      </c>
      <c r="S107" s="114" t="s">
        <v>229</v>
      </c>
    </row>
    <row r="109" spans="2:19" ht="15.75" thickBot="1" x14ac:dyDescent="0.3"/>
    <row r="110" spans="2:19" ht="15.75" thickBot="1" x14ac:dyDescent="0.3">
      <c r="B110" s="270" t="s">
        <v>204</v>
      </c>
      <c r="C110" s="271"/>
      <c r="D110" s="284" t="s">
        <v>247</v>
      </c>
      <c r="E110" s="285"/>
      <c r="F110" s="285"/>
      <c r="G110" s="285"/>
      <c r="H110" s="285"/>
      <c r="I110" s="286"/>
      <c r="J110" s="284" t="s">
        <v>240</v>
      </c>
      <c r="K110" s="285"/>
      <c r="L110" s="285"/>
      <c r="M110" s="286"/>
      <c r="N110" s="295" t="s">
        <v>243</v>
      </c>
      <c r="O110" s="296"/>
      <c r="P110" s="296"/>
      <c r="Q110" s="297"/>
      <c r="R110" s="69" t="s">
        <v>242</v>
      </c>
    </row>
    <row r="111" spans="2:19" ht="32.25" customHeight="1" x14ac:dyDescent="0.25">
      <c r="B111" s="272"/>
      <c r="C111" s="273"/>
      <c r="D111" s="272" t="s">
        <v>244</v>
      </c>
      <c r="E111" s="279"/>
      <c r="F111" s="279"/>
      <c r="G111" s="279"/>
      <c r="H111" s="279"/>
      <c r="I111" s="279"/>
      <c r="J111" s="289" t="s">
        <v>245</v>
      </c>
      <c r="K111" s="290"/>
      <c r="L111" s="290"/>
      <c r="M111" s="291"/>
      <c r="N111" s="298" t="s">
        <v>244</v>
      </c>
      <c r="O111" s="298"/>
      <c r="P111" s="298"/>
      <c r="Q111" s="298"/>
      <c r="R111" s="269"/>
    </row>
    <row r="112" spans="2:19" ht="15.75" customHeight="1" thickBot="1" x14ac:dyDescent="0.3">
      <c r="B112" s="272"/>
      <c r="C112" s="273"/>
      <c r="D112" s="287"/>
      <c r="E112" s="288"/>
      <c r="F112" s="288"/>
      <c r="G112" s="288"/>
      <c r="H112" s="288"/>
      <c r="I112" s="288"/>
      <c r="J112" s="292"/>
      <c r="K112" s="293"/>
      <c r="L112" s="293"/>
      <c r="M112" s="294"/>
      <c r="N112" s="293"/>
      <c r="O112" s="293"/>
      <c r="P112" s="293"/>
      <c r="Q112" s="293"/>
      <c r="R112" s="269"/>
    </row>
    <row r="113" spans="2:18" ht="30.75" thickBot="1" x14ac:dyDescent="0.3">
      <c r="B113" s="108"/>
      <c r="D113" s="120" t="s">
        <v>234</v>
      </c>
      <c r="E113" s="107" t="s">
        <v>235</v>
      </c>
      <c r="F113" s="107" t="s">
        <v>236</v>
      </c>
      <c r="G113" s="107" t="s">
        <v>237</v>
      </c>
      <c r="H113" s="107" t="s">
        <v>238</v>
      </c>
      <c r="I113" s="117" t="s">
        <v>239</v>
      </c>
      <c r="J113" s="130" t="s">
        <v>241</v>
      </c>
      <c r="K113" s="107" t="s">
        <v>237</v>
      </c>
      <c r="L113" s="107" t="s">
        <v>238</v>
      </c>
      <c r="M113" s="131" t="s">
        <v>239</v>
      </c>
      <c r="N113" s="127" t="s">
        <v>241</v>
      </c>
      <c r="O113" s="107" t="s">
        <v>237</v>
      </c>
      <c r="P113" s="107" t="s">
        <v>238</v>
      </c>
      <c r="Q113" s="117" t="s">
        <v>239</v>
      </c>
      <c r="R113" s="118"/>
    </row>
    <row r="114" spans="2:18" x14ac:dyDescent="0.25">
      <c r="B114" s="108" t="s">
        <v>93</v>
      </c>
      <c r="D114" s="121">
        <v>0.02</v>
      </c>
      <c r="E114" s="121">
        <v>0.05</v>
      </c>
      <c r="F114" s="121">
        <v>0.1</v>
      </c>
      <c r="G114" s="121">
        <v>0.2</v>
      </c>
      <c r="H114" s="121">
        <v>0.3</v>
      </c>
      <c r="I114" s="125">
        <v>0.4</v>
      </c>
      <c r="J114" s="132">
        <v>0.2</v>
      </c>
      <c r="K114" s="121">
        <v>0.3</v>
      </c>
      <c r="L114" s="121">
        <v>0.4</v>
      </c>
      <c r="M114" s="122">
        <v>0.5</v>
      </c>
      <c r="N114" s="128">
        <v>0.5</v>
      </c>
      <c r="O114" s="121">
        <v>0.5</v>
      </c>
      <c r="P114" s="121">
        <v>0.5</v>
      </c>
      <c r="Q114" s="121">
        <v>0.5</v>
      </c>
      <c r="R114" s="122">
        <v>0.1</v>
      </c>
    </row>
    <row r="115" spans="2:18" x14ac:dyDescent="0.25">
      <c r="B115" s="108" t="s">
        <v>102</v>
      </c>
      <c r="D115" s="105">
        <v>0.05</v>
      </c>
      <c r="E115" s="105">
        <v>0.1</v>
      </c>
      <c r="F115" s="105">
        <v>0.2</v>
      </c>
      <c r="G115" s="105">
        <v>0.4</v>
      </c>
      <c r="H115" s="105">
        <v>0.6</v>
      </c>
      <c r="I115" s="101">
        <v>0.8</v>
      </c>
      <c r="J115" s="133">
        <v>0.4</v>
      </c>
      <c r="K115" s="105">
        <v>0.6</v>
      </c>
      <c r="L115" s="105">
        <v>0.8</v>
      </c>
      <c r="M115" s="110">
        <v>1</v>
      </c>
      <c r="N115" s="102">
        <v>0.6</v>
      </c>
      <c r="O115" s="105">
        <v>0.6</v>
      </c>
      <c r="P115" s="105">
        <v>0.8</v>
      </c>
      <c r="Q115" s="105">
        <v>1</v>
      </c>
      <c r="R115" s="110">
        <v>0.2</v>
      </c>
    </row>
    <row r="116" spans="2:18" ht="15.75" thickBot="1" x14ac:dyDescent="0.3">
      <c r="B116" s="111" t="s">
        <v>233</v>
      </c>
      <c r="C116" s="112"/>
      <c r="D116" s="113">
        <v>0.1</v>
      </c>
      <c r="E116" s="113">
        <v>0.2</v>
      </c>
      <c r="F116" s="113">
        <v>0.4</v>
      </c>
      <c r="G116" s="113">
        <v>0.8</v>
      </c>
      <c r="H116" s="113">
        <v>1.2</v>
      </c>
      <c r="I116" s="126">
        <v>1.6</v>
      </c>
      <c r="J116" s="134">
        <v>0.6</v>
      </c>
      <c r="K116" s="113">
        <v>1</v>
      </c>
      <c r="L116" s="113">
        <v>1.5</v>
      </c>
      <c r="M116" s="114">
        <v>2</v>
      </c>
      <c r="N116" s="129">
        <v>0.6</v>
      </c>
      <c r="O116" s="113">
        <v>1</v>
      </c>
      <c r="P116" s="113">
        <v>1.5</v>
      </c>
      <c r="Q116" s="113">
        <v>2</v>
      </c>
      <c r="R116" s="114">
        <v>0.5</v>
      </c>
    </row>
    <row r="119" spans="2:18" ht="31.5" customHeight="1" x14ac:dyDescent="0.25"/>
  </sheetData>
  <sheetProtection sheet="1" objects="1" scenarios="1"/>
  <mergeCells count="54">
    <mergeCell ref="I34:K34"/>
    <mergeCell ref="M35:M36"/>
    <mergeCell ref="N35:N36"/>
    <mergeCell ref="H71:H94"/>
    <mergeCell ref="L69:L70"/>
    <mergeCell ref="A2:A5"/>
    <mergeCell ref="A33:A36"/>
    <mergeCell ref="B33:H33"/>
    <mergeCell ref="B35:H36"/>
    <mergeCell ref="B2:S2"/>
    <mergeCell ref="B4:S4"/>
    <mergeCell ref="B5:L5"/>
    <mergeCell ref="M5:S5"/>
    <mergeCell ref="O35:O36"/>
    <mergeCell ref="P35:Y36"/>
    <mergeCell ref="A32:Y32"/>
    <mergeCell ref="I33:Y33"/>
    <mergeCell ref="I35:I36"/>
    <mergeCell ref="J35:J36"/>
    <mergeCell ref="K35:K36"/>
    <mergeCell ref="L35:L36"/>
    <mergeCell ref="A67:A70"/>
    <mergeCell ref="B67:H67"/>
    <mergeCell ref="B69:H70"/>
    <mergeCell ref="I69:I70"/>
    <mergeCell ref="H37:H61"/>
    <mergeCell ref="A66:X66"/>
    <mergeCell ref="I67:X67"/>
    <mergeCell ref="M69:X70"/>
    <mergeCell ref="O37:O61"/>
    <mergeCell ref="K68:L68"/>
    <mergeCell ref="I68:J68"/>
    <mergeCell ref="J69:J70"/>
    <mergeCell ref="K69:K70"/>
    <mergeCell ref="Z32:AE34"/>
    <mergeCell ref="Z35:Z36"/>
    <mergeCell ref="AA35:AA36"/>
    <mergeCell ref="AB35:AB36"/>
    <mergeCell ref="AC35:AC36"/>
    <mergeCell ref="AD35:AD36"/>
    <mergeCell ref="AE35:AE36"/>
    <mergeCell ref="R111:R112"/>
    <mergeCell ref="B110:C112"/>
    <mergeCell ref="B100:S100"/>
    <mergeCell ref="D101:K102"/>
    <mergeCell ref="B101:C102"/>
    <mergeCell ref="L101:N102"/>
    <mergeCell ref="O101:S102"/>
    <mergeCell ref="D110:I110"/>
    <mergeCell ref="D111:I112"/>
    <mergeCell ref="J110:M110"/>
    <mergeCell ref="J111:M112"/>
    <mergeCell ref="N110:Q110"/>
    <mergeCell ref="N111:Q112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F0EDF-29CF-45CC-A948-9D96A3CBADD8}">
  <dimension ref="A1:AC109"/>
  <sheetViews>
    <sheetView topLeftCell="I88" workbookViewId="0">
      <selection activeCell="G35" sqref="G35:H35"/>
    </sheetView>
  </sheetViews>
  <sheetFormatPr baseColWidth="10" defaultRowHeight="15" x14ac:dyDescent="0.25"/>
  <cols>
    <col min="1" max="1" width="14.140625" customWidth="1"/>
    <col min="2" max="2" width="19.140625" customWidth="1"/>
    <col min="3" max="3" width="14" bestFit="1" customWidth="1"/>
    <col min="4" max="4" width="12.42578125" bestFit="1" customWidth="1"/>
    <col min="10" max="11" width="12.7109375" customWidth="1"/>
    <col min="13" max="13" width="11.85546875" customWidth="1"/>
    <col min="14" max="29" width="12.7109375" customWidth="1"/>
  </cols>
  <sheetData>
    <row r="1" spans="1:29" ht="15.75" thickBot="1" x14ac:dyDescent="0.3">
      <c r="A1" s="368" t="s">
        <v>173</v>
      </c>
      <c r="B1" s="368" t="s">
        <v>183</v>
      </c>
      <c r="C1" s="368" t="s">
        <v>182</v>
      </c>
    </row>
    <row r="2" spans="1:29" ht="30.75" customHeight="1" thickBot="1" x14ac:dyDescent="0.3">
      <c r="A2" s="369"/>
      <c r="B2" s="369"/>
      <c r="C2" s="369"/>
      <c r="E2" s="355" t="s">
        <v>116</v>
      </c>
      <c r="F2" s="356"/>
    </row>
    <row r="3" spans="1:29" ht="15.75" thickBot="1" x14ac:dyDescent="0.3">
      <c r="A3" s="66">
        <v>1</v>
      </c>
      <c r="B3" s="66" t="s">
        <v>155</v>
      </c>
      <c r="C3" s="66" t="s">
        <v>96</v>
      </c>
      <c r="E3" s="348" t="s">
        <v>117</v>
      </c>
      <c r="F3" s="349"/>
      <c r="H3" s="348" t="s">
        <v>173</v>
      </c>
      <c r="I3" s="349"/>
      <c r="K3" s="350" t="s">
        <v>188</v>
      </c>
      <c r="L3" s="351"/>
      <c r="M3" s="351"/>
      <c r="N3" s="352"/>
      <c r="P3" s="274" t="s">
        <v>189</v>
      </c>
      <c r="Q3" s="275"/>
      <c r="R3" s="276"/>
      <c r="S3" s="275"/>
      <c r="T3" s="275"/>
      <c r="U3" s="275"/>
      <c r="V3" s="275"/>
      <c r="W3" s="275"/>
      <c r="X3" s="275"/>
      <c r="Y3" s="275"/>
      <c r="Z3" s="275"/>
      <c r="AA3" s="275"/>
      <c r="AB3" s="275"/>
      <c r="AC3" s="277"/>
    </row>
    <row r="4" spans="1:29" ht="15.75" thickBot="1" x14ac:dyDescent="0.3">
      <c r="A4" s="66">
        <v>2</v>
      </c>
      <c r="B4" s="66" t="s">
        <v>156</v>
      </c>
      <c r="C4" s="66" t="s">
        <v>97</v>
      </c>
      <c r="E4" s="357" t="e">
        <f>'Allg.toleranzen DIN ISO 2768'!#REF!</f>
        <v>#REF!</v>
      </c>
      <c r="F4" s="358"/>
      <c r="H4" s="353" t="s">
        <v>120</v>
      </c>
      <c r="I4" s="354"/>
      <c r="K4" s="295" t="s">
        <v>187</v>
      </c>
      <c r="L4" s="297"/>
      <c r="M4" s="284" t="s">
        <v>94</v>
      </c>
      <c r="N4" s="286"/>
      <c r="P4" s="69" t="s">
        <v>101</v>
      </c>
      <c r="Q4" s="84" t="s">
        <v>102</v>
      </c>
      <c r="R4" s="69" t="s">
        <v>103</v>
      </c>
      <c r="S4" s="85" t="s">
        <v>104</v>
      </c>
      <c r="T4" s="69" t="s">
        <v>106</v>
      </c>
      <c r="U4" s="69" t="s">
        <v>107</v>
      </c>
      <c r="V4" s="69" t="s">
        <v>108</v>
      </c>
      <c r="W4" s="69" t="s">
        <v>109</v>
      </c>
      <c r="X4" s="69" t="s">
        <v>110</v>
      </c>
      <c r="Y4" s="69" t="s">
        <v>111</v>
      </c>
      <c r="Z4" s="69" t="s">
        <v>112</v>
      </c>
      <c r="AA4" s="69" t="s">
        <v>113</v>
      </c>
      <c r="AB4" s="69" t="s">
        <v>114</v>
      </c>
      <c r="AC4" s="69" t="s">
        <v>115</v>
      </c>
    </row>
    <row r="5" spans="1:29" ht="15.75" thickBot="1" x14ac:dyDescent="0.3">
      <c r="A5" s="66">
        <v>3</v>
      </c>
      <c r="B5" s="66" t="s">
        <v>157</v>
      </c>
      <c r="C5" s="66" t="s">
        <v>98</v>
      </c>
      <c r="H5" s="35" t="s">
        <v>69</v>
      </c>
      <c r="I5" s="38" t="e">
        <f>IF(AND(F$7=1),Grundtoleranzen!B6,IF(AND(F$7=2),Grundtoleranzen!C6,IF(AND(F$7=3),Grundtoleranzen!D6,IF(AND(F$7=4),Grundtoleranzen!E6,IF(AND(F$7=5),Grundtoleranzen!F6,IF(AND(F$7=6),Grundtoleranzen!G6,IF(AND(F$7=7),Grundtoleranzen!H6,IF(AND(F$7=8),Grundtoleranzen!I6,IF(AND(F$7=9),Grundtoleranzen!J6,IF(AND(F$7=10),Grundtoleranzen!K6,IF(AND(F$7=11),Grundtoleranzen!L6,IF(AND(F$7=12),Grundtoleranzen!M6,IF(AND(F$7=13),Grundtoleranzen!N6,IF(AND(F$7=14),Grundtoleranzen!O6,IF(AND(F$7=15),Grundtoleranzen!P6,IF(AND(F$7=16),Grundtoleranzen!Q6,IF(AND(F$7=17),Grundtoleranzen!R6,IF(AND(F$7=18),Grundtoleranzen!S6))))))))))))))))))</f>
        <v>#REF!</v>
      </c>
      <c r="K5" s="35" t="s">
        <v>47</v>
      </c>
      <c r="L5" s="68" t="e">
        <f>IF(AND(F$11="C"),Grundtoleranzen!B37,IF(AND(F$11="D"),Grundtoleranzen!C37,IF(AND(F$11="E"),Grundtoleranzen!D37,IF(AND(F$11="F"),Grundtoleranzen!E37,IF(AND(F$11="G"),Grundtoleranzen!F37,IF(AND(F$11="H"),Grundtoleranzen!G37))))))</f>
        <v>#REF!</v>
      </c>
      <c r="M5" s="35" t="s">
        <v>69</v>
      </c>
      <c r="N5" s="70" t="e">
        <f>IF(AND(F$11="JS",F$7=1),(Grundtoleranzen!B6)/2,IF(AND(F$11="JS",F$7=2),(Grundtoleranzen!C6)/2,IF(AND(F$11="JS",F$7=3),(Grundtoleranzen!D6)/2,IF(AND(F$11="JS",F$7=4),(Grundtoleranzen!E6)/2,IF(AND(F$11="JS",F$7=5),(Grundtoleranzen!F6)/2,IF(AND(F$11="JS",F$7=6),(Grundtoleranzen!G6)/2,IF(AND(F$11="JS",F$7=7),(Grundtoleranzen!H6)/2,IF(AND(F$11="JS",F$7=8),(Grundtoleranzen!I6)/2,IF(AND(F$11="JS",F$7=9),(Grundtoleranzen!J6)/2,IF(AND(F$11="JS",F$7=10),(Grundtoleranzen!K6)/2,IF(AND(F$11="JS",F$7=11),(Grundtoleranzen!L6)/2,IF(AND(F$11="JS",F$7=12),(Grundtoleranzen!M6)/2,IF(AND(F$11="JS",F$7=13),(Grundtoleranzen!N6)/2,IF(AND(F$11="JS",F$7=14),(Grundtoleranzen!O6)/2,IF(AND(F$11="JS",F$7=15),(Grundtoleranzen!P6)/2,IF(AND(F$11="JS",F$7=16),(Grundtoleranzen!Q6)/2,IF(AND(F$11="JS",F$7=17),(Grundtoleranzen!R6)/2,IF(AND(F$11="JS",F$7=18),(Grundtoleranzen!S6)/2))))))))))))))))))*-1</f>
        <v>#REF!</v>
      </c>
      <c r="P5" s="70" t="e">
        <f>IF(AND(F$11="J",F$7=6),(Grundtoleranzen!I37),IF(AND(F$11="J",F$7=7),(Grundtoleranzen!J37),IF(AND(F$11="J",F$7=8),(Grundtoleranzen!K37),"Nur IT6-8")))</f>
        <v>#REF!</v>
      </c>
      <c r="Q5" s="82" t="e">
        <f>IF(AND($F$11="K",$F$7=1),(Grundtoleranzen!L37),IF(AND($F$11="K",$F$7=2),(Grundtoleranzen!L37),IF(AND($F$11="K",$F$7=3),(Grundtoleranzen!L37)+Grundtoleranzen!Z37,IF(AND($F$11="K",$F$7=4),(Grundtoleranzen!L37)+Grundtoleranzen!AA37,IF(AND($F$11="K",$F$7=5),(Grundtoleranzen!L37)+Grundtoleranzen!AB37,IF(AND($F$11="K",$F$7=6),(Grundtoleranzen!L37)+Grundtoleranzen!AC37,IF(AND($F$11="K",$F$7=7),(Grundtoleranzen!L37)+Grundtoleranzen!AD37,IF(AND($F$11="K",$F$7=8),(Grundtoleranzen!L37)+Grundtoleranzen!AE37,"Nur IT 1 - 8"))))))))</f>
        <v>#REF!</v>
      </c>
      <c r="R5" s="70" t="e">
        <f>IF(AND($F$11="M",$F$7=1),(Grundtoleranzen!M37),IF(AND($F$11="M",$F$7=2),(Grundtoleranzen!M37),IF(AND($F$11="M",$F$7=3),(Grundtoleranzen!M37)+Grundtoleranzen!$Z37,IF(AND($F$11="M",$F$7=4),(Grundtoleranzen!M37)+Grundtoleranzen!$AA37,IF(AND($F$11="M",$F$7=5),(Grundtoleranzen!M37)+Grundtoleranzen!$AB37,IF(AND($F$11="M",$F$7=6),(Grundtoleranzen!M37)+Grundtoleranzen!$AC37,IF(AND($F$11="M",$F$7=7),(Grundtoleranzen!M37)+Grundtoleranzen!$AD37,IF(AND($F$11="M",$F$7=8),(Grundtoleranzen!M37)+Grundtoleranzen!$AE37,IF(AND($F$11="M",$F$7=9),(Grundtoleranzen!M37),IF(AND($F$11="M",$F$7=10),(Grundtoleranzen!M37),IF(AND($F$11="M",$F$7=11),(Grundtoleranzen!M37),IF(AND($F$11="M",$F$7=12),(Grundtoleranzen!M37),IF(AND($F$11="M",$F$7=13),(Grundtoleranzen!M37),IF(AND($F$11="M",$F$7=14),(Grundtoleranzen!M37),IF(AND($F$11="M",$F$7=15),(Grundtoleranzen!M37),IF(AND($F$11="M",$F$7=16),(Grundtoleranzen!M37),IF(AND($F$11="M",$F$7=17),(Grundtoleranzen!M37),IF(AND($F$11="M",$F$7=18),(Grundtoleranzen!M37),"Error"))))))))))))))))))</f>
        <v>#REF!</v>
      </c>
      <c r="S5" s="70" t="e">
        <f>IF(AND($F$11="N",$F$7=1),(Grundtoleranzen!N37),IF(AND($F$11="N",$F$7=2),(Grundtoleranzen!N37),IF(AND($F$11="N",$F$7=3),(Grundtoleranzen!N37)+Grundtoleranzen!$Z37,IF(AND($F$11="N",$F$7=4),(Grundtoleranzen!N37)+Grundtoleranzen!$AA37,IF(AND($F$11="N",$F$7=5),(Grundtoleranzen!N37)+Grundtoleranzen!$AB37,IF(AND($F$11="N",$F$7=6),(Grundtoleranzen!N37)+Grundtoleranzen!$AC37,IF(AND($F$11="N",$F$7=7),(Grundtoleranzen!N37)+Grundtoleranzen!$AD37,IF(AND($F$11="N",$F$7=8),(Grundtoleranzen!N37)+Grundtoleranzen!$AE37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#REF!</v>
      </c>
      <c r="T5" s="70" t="e">
        <f>IF(AND($F$11="P",$F$7=1),(Grundtoleranzen!P37),IF(AND($F$11="P",$F$7=2),(Grundtoleranzen!P37),IF(AND($F$11="P",$F$7=3),(Grundtoleranzen!P37)+Grundtoleranzen!$Z37,IF(AND($F$11="P",$F$7=4),(Grundtoleranzen!P37)+Grundtoleranzen!$AA37,IF(AND($F$11="P",$F$7=5),(Grundtoleranzen!P37)+Grundtoleranzen!$AB37,IF(AND($F$11="P",$F$7=6),(Grundtoleranzen!P37)+Grundtoleranzen!$AC37,IF(AND($F$11="P",$F$7=7),(Grundtoleranzen!P37)+Grundtoleranzen!$AD37,IF(AND($F$11="P",$F$7=8),(Grundtoleranzen!P37),IF(AND($F$11="P",$F$7=9),(Grundtoleranzen!P37),IF(AND($F$11="P",$F$7=10),(Grundtoleranzen!P37),IF(AND($F$11="P",$F$7=11),(Grundtoleranzen!P37),IF(AND($F$11="P",$F$7=12),(Grundtoleranzen!P37),IF(AND($F$11="P",$F$7=13),(Grundtoleranzen!P37),IF(AND($F$11="P",$F$7=14),(Grundtoleranzen!P37),IF(AND($F$11="P",$F$7=15),(Grundtoleranzen!P37),IF(AND($F$11="P",$F$7=16),(Grundtoleranzen!P37),IF(AND($F$11="P",$F$7=17),(Grundtoleranzen!P37),IF(AND($F$11="P",$F$7=18),(Grundtoleranzen!P37),"Error"))))))))))))))))))</f>
        <v>#REF!</v>
      </c>
      <c r="U5" s="70" t="e">
        <f>IF(AND($F$11="R",$F$7=1),(Grundtoleranzen!Q37),IF(AND($F$11="R",$F$7=2),(Grundtoleranzen!Q37),IF(AND($F$11="R",$F$7=3),(Grundtoleranzen!Q37)+Grundtoleranzen!$Z37,IF(AND($F$11="R",$F$7=4),(Grundtoleranzen!Q37)+Grundtoleranzen!$AA37,IF(AND($F$11="R",$F$7=5),(Grundtoleranzen!Q37)+Grundtoleranzen!$AB37,IF(AND($F$11="R",$F$7=6),(Grundtoleranzen!Q37)+Grundtoleranzen!$AC37,IF(AND($F$11="R",$F$7=7),(Grundtoleranzen!Q37)+Grundtoleranzen!$AD37,IF(AND($F$11="R",$F$7=8),(Grundtoleranzen!Q37)+Grundtoleranzen!$AE37,IF(AND($F$11="R",$F$7=9),(Grundtoleranzen!Q37),IF(AND($F$11="R",$F$7=10),(Grundtoleranzen!Q37),IF(AND($F$11="R",$F$7=11),(Grundtoleranzen!Q37),IF(AND($F$11="R",$F$7=12),(Grundtoleranzen!Q37),IF(AND($F$11="R",$F$7=13),(Grundtoleranzen!Q37),IF(AND($F$11="R",$F$7=14),(Grundtoleranzen!Q37),IF(AND($F$11="R",$F$7=15),(Grundtoleranzen!Q37),IF(AND($F$11="R",$F$7=16),(Grundtoleranzen!Q37),IF(AND($F$11="R",$F$7=17),(Grundtoleranzen!Q37),IF(AND($F$11="R",$F$7=18),(Grundtoleranzen!Q37),"Error"))))))))))))))))))</f>
        <v>#REF!</v>
      </c>
      <c r="V5" s="70" t="e">
        <f>IF(AND($F$11="S",$F$7=1),Grundtoleranzen!R37,IF(AND($F$11="S",$F$7=2),(Grundtoleranzen!R37),IF(AND($F$11="S",$F$7=3),(Grundtoleranzen!R37)+Grundtoleranzen!$Z37,IF(AND($F$11="S",$F$7=4),(Grundtoleranzen!R37)+Grundtoleranzen!$AA37,IF(AND($F$11="S",$F$7=5),(Grundtoleranzen!R37)+Grundtoleranzen!$AB37,IF(AND($F$11="S",$F$7=6),(Grundtoleranzen!R37)+Grundtoleranzen!$AC37,IF(AND($F$11="S",$F$7=7),(Grundtoleranzen!R37)+Grundtoleranzen!$AD37,IF(AND($F$11="S",$F$7=8),(Grundtoleranzen!R37),IF(AND($F$11="S",$F$7=9),(Grundtoleranzen!R37),IF(AND($F$11="S",$F$7=10),(Grundtoleranzen!R37),IF(AND($F$11="S",$F$7=11),(Grundtoleranzen!R37),IF(AND($F$11="S",$F$7=12),(Grundtoleranzen!R37),IF(AND($F$11="S",$F$7=13),(Grundtoleranzen!R37),IF(AND($F$11="S",$F$7=14),(Grundtoleranzen!R37),IF(AND($F$11="S",$F$7=15),(Grundtoleranzen!R37),IF(AND($F$11="S",$F$7=16),(Grundtoleranzen!R37),IF(AND($F$11="S",$F$7=17),(Grundtoleranzen!R37),IF(AND($F$11="S",$F$7=18),(Grundtoleranzen!R37),"Error"))))))))))))))))))</f>
        <v>#REF!</v>
      </c>
      <c r="W5" s="70" t="e">
        <f>IF(AND($F$11="T",$F$7=1),(Grundtoleranzen!S37),IF(AND($F$11="T",$F$7=2),(Grundtoleranzen!S37),IF(AND($F$11="T",$F$7=3),(Grundtoleranzen!S37)+Grundtoleranzen!$Z37,IF(AND($F$11="T",$F$7=4),(Grundtoleranzen!S37)+Grundtoleranzen!$AA37,IF(AND($F$11="T",$F$7=5),(Grundtoleranzen!S37)+Grundtoleranzen!$AB37,IF(AND($F$11="T",$F$7=6),(Grundtoleranzen!S37)+Grundtoleranzen!$AC37,IF(AND($F$11="T",$F$7=7),(Grundtoleranzen!S37)+Grundtoleranzen!$AD37,IF(AND($F$11="T",$F$7=8),(Grundtoleranzen!S37),IF(AND($F$11="T",$F$7=9),(Grundtoleranzen!S37),IF(AND($F$11="T",$F$7=10),(Grundtoleranzen!S37),IF(AND($F$11="T",$F$7=11),(Grundtoleranzen!S37),IF(AND($F$11="T",$F$7=12),(Grundtoleranzen!S37),IF(AND($F$11="T",$F$7=13),(Grundtoleranzen!S37),IF(AND($F$11="T",$F$7=14),(Grundtoleranzen!S37),IF(AND($F$11="T",$F$7=15),(Grundtoleranzen!S37),IF(AND($F$11="T",$F$7=16),(Grundtoleranzen!S37),IF(AND($F$11="T",$F$7=17),(Grundtoleranzen!S37),IF(AND($F$11="T",$F$7=18),(Grundtoleranzen!S37),"Error"))))))))))))))))))</f>
        <v>#REF!</v>
      </c>
      <c r="X5" s="70" t="e">
        <f>IF(AND($F$11="U",$F$7=1),(Grundtoleranzen!T37),IF(AND($F$11="U",$F$7=2),(Grundtoleranzen!T37),IF(AND($F$11="U",$F$7=3),(Grundtoleranzen!T37)+Grundtoleranzen!$Z37,IF(AND($F$11="U",$F$7=4),(Grundtoleranzen!T37)+Grundtoleranzen!$AA37,IF(AND($F$11="U",$F$7=5),(Grundtoleranzen!T37)+Grundtoleranzen!$AB37,IF(AND($F$11="U",$F$7=6),(Grundtoleranzen!T37)+Grundtoleranzen!$AC37,IF(AND($F$11="U",$F$7=7),(Grundtoleranzen!T37)+Grundtoleranzen!$AD37,IF(AND($F$11="U",$F$7=8),(Grundtoleranzen!T37),IF(AND($F$11="U",$F$7=9),(Grundtoleranzen!T37),IF(AND($F$11="U",$F$7=10),(Grundtoleranzen!T37),IF(AND($F$11="U",$F$7=11),(Grundtoleranzen!T37),IF(AND($F$11="U",$F$7=12),(Grundtoleranzen!T37),IF(AND($F$11="U",$F$7=13),(Grundtoleranzen!T37),IF(AND($F$11="U",$F$7=14),(Grundtoleranzen!T37),IF(AND($F$11="U",$F$7=15),(Grundtoleranzen!T37),IF(AND($F$11="U",$F$7=16),(Grundtoleranzen!T37),IF(AND($F$11="U",$F$7=17),(Grundtoleranzen!T37),IF(AND($F$11="U",$F$7=18),(Grundtoleranzen!T37),"Error"))))))))))))))))))</f>
        <v>#REF!</v>
      </c>
      <c r="Y5" s="70" t="e">
        <f>IF(AND($F$11="X",$F$7=1),(Grundtoleranzen!U37),IF(AND($F$11="X",$F$7=2),(Grundtoleranzen!U37),IF(AND($F$11="X",$F$7=3),(Grundtoleranzen!U37)+Grundtoleranzen!$Z37,IF(AND($F$11="X",$F$7=4),(Grundtoleranzen!U37)+Grundtoleranzen!$AA37,IF(AND($F$11="X",$F$7=5),(Grundtoleranzen!U37)+Grundtoleranzen!$AB37,IF(AND($F$11="X",$F$7=6),(Grundtoleranzen!U37)+Grundtoleranzen!$AC37,IF(AND($F$11="X",$F$7=7),(Grundtoleranzen!U37)+Grundtoleranzen!$AD37,IF(AND($F$11="X",$F$7=8),(Grundtoleranzen!U37)+Grundtoleranzen!$AE37,IF(AND($F$11="X",$F$7=9),(Grundtoleranzen!U37),IF(AND($F$11="X",$F$7=10),(Grundtoleranzen!U37),IF(AND($F$11="X",$F$7=11),(Grundtoleranzen!U37),IF(AND($F$11="X",$F$7=12),(Grundtoleranzen!U37),IF(AND($F$11="X",$F$7=13),(Grundtoleranzen!U37),IF(AND($F$11="X",$F$7=14),(Grundtoleranzen!U37),IF(AND($F$11="X",$F$7=15),(Grundtoleranzen!U37),IF(AND($F$11="X",$F$7=16),(Grundtoleranzen!U37),IF(AND($F$11="X",$F$7=17),(Grundtoleranzen!U37),IF(AND($F$11="X",$F$7=18),(Grundtoleranzen!U37),"Error"))))))))))))))))))</f>
        <v>#REF!</v>
      </c>
      <c r="Z5" s="70" t="e">
        <f>IF(AND($F$11="Z",$F$7=1),(Grundtoleranzen!V37),IF(AND($F$11="Z",$F$7=2),(Grundtoleranzen!V37),IF(AND($F$11="Z",$F$7=3),(Grundtoleranzen!V37)+Grundtoleranzen!$Z37,IF(AND($F$11="Z",$F$7=4),(Grundtoleranzen!V37)+Grundtoleranzen!$AA37,IF(AND($F$11="Z",$F$7=5),(Grundtoleranzen!V37)+Grundtoleranzen!$AB37,IF(AND($F$11="Z",$F$7=6),(Grundtoleranzen!V37)+Grundtoleranzen!$AC37,IF(AND($F$11="Z",$F$7=7),(Grundtoleranzen!V37)+Grundtoleranzen!$AD37,IF(AND($F$11="Z",$F$7=8),(Grundtoleranzen!V37),IF(AND($F$11="Z",$F$7=9),(Grundtoleranzen!V37),IF(AND($F$11="Z",$F$7=10),(Grundtoleranzen!V37),IF(AND($F$11="Z",$F$7=11),(Grundtoleranzen!V37),IF(AND($F$11="Z",$F$7=12),(Grundtoleranzen!V37),IF(AND($F$11="Z",$F$7=13),(Grundtoleranzen!V37),IF(AND($F$11="Z",$F$7=14),(Grundtoleranzen!V37),IF(AND($F$11="Z",$F$7=15),(Grundtoleranzen!V37),IF(AND($F$11="Z",$F$7=16),(Grundtoleranzen!V37),IF(AND($F$11="Z",$F$7=17),(Grundtoleranzen!V37),IF(AND($F$11="Z",$F$7=18),(Grundtoleranzen!V37),"Error"))))))))))))))))))</f>
        <v>#REF!</v>
      </c>
      <c r="AA5" s="70" t="e">
        <f>IF(AND($F$11="ZA",$F$7=1),(Grundtoleranzen!W37),IF(AND($F$11="ZA",$F$7=2),(Grundtoleranzen!W37),IF(AND($F$11="ZA",$F$7=3),(Grundtoleranzen!W37)+Grundtoleranzen!$Z37,IF(AND($F$11="ZA",$F$7=4),(Grundtoleranzen!W37)+Grundtoleranzen!$AA37,IF(AND($F$11="ZA",$F$7=5),(Grundtoleranzen!W37)+Grundtoleranzen!$AB37,IF(AND($F$11="ZA",$F$7=6),(Grundtoleranzen!W37)+Grundtoleranzen!$AC37,IF(AND($F$11="ZA",$F$7=7),(Grundtoleranzen!W37)+Grundtoleranzen!$AD37,IF(AND($F$11="ZA",$F$7=8),(Grundtoleranzen!W37),IF(AND($F$11="ZA",$F$7=9),(Grundtoleranzen!W37),IF(AND($F$11="ZA",$F$7=10),(Grundtoleranzen!W37),IF(AND($F$11="ZA",$F$7=11),(Grundtoleranzen!W37),IF(AND($F$11="ZA",$F$7=12),(Grundtoleranzen!W37),IF(AND($F$11="ZA",$F$7=13),(Grundtoleranzen!W37),IF(AND($F$11="ZA",$F$7=14),(Grundtoleranzen!W37),IF(AND($F$11="ZA",$F$7=15),(Grundtoleranzen!W37),IF(AND($F$11="ZA",$F$7=16),(Grundtoleranzen!W37),IF(AND($F$11="ZA",$F$7=17),(Grundtoleranzen!W37),IF(AND($F$11="ZA",$F$7=18),(Grundtoleranzen!W37),"Error"))))))))))))))))))</f>
        <v>#REF!</v>
      </c>
      <c r="AB5" s="70" t="e">
        <f>IF(AND($F$11="ZB",$F$7=1),(Grundtoleranzen!X37),IF(AND($F$11="ZB",$F$7=2),(Grundtoleranzen!X37),IF(AND($F$11="ZB",$F$7=3),(Grundtoleranzen!X37)+Grundtoleranzen!$Z37,IF(AND($F$11="ZB",$F$7=4),(Grundtoleranzen!X37)+Grundtoleranzen!$AA37,IF(AND($F$11="ZB",$F$7=5),(Grundtoleranzen!X37)+Grundtoleranzen!$AB37,IF(AND($F$11="ZB",$F$7=6),(Grundtoleranzen!X37)+Grundtoleranzen!$AC37,IF(AND($F$11="ZB",$F$7=7),(Grundtoleranzen!X37)+Grundtoleranzen!$AD37,IF(AND($F$11="ZB",$F$7=8),(Grundtoleranzen!X37),IF(AND($F$11="ZB",$F$7=9),(Grundtoleranzen!X37),IF(AND($F$11="ZB",$F$7=10),(Grundtoleranzen!X37),IF(AND($F$11="ZB",$F$7=11),(Grundtoleranzen!X37),IF(AND($F$11="ZB",$F$7=12),(Grundtoleranzen!X37),IF(AND($F$11="ZB",$F$7=13),(Grundtoleranzen!X37),IF(AND($F$11="ZB",$F$7=14),(Grundtoleranzen!X37),IF(AND($F$11="ZB",$F$7=15),(Grundtoleranzen!X37),IF(AND($F$11="ZB",$F$7=16),(Grundtoleranzen!X37),IF(AND($F$11="ZB",$F$7=17),(Grundtoleranzen!X37),IF(AND($F$11="ZB",$F$7=18),(Grundtoleranzen!X37),"Error"))))))))))))))))))</f>
        <v>#REF!</v>
      </c>
      <c r="AC5" s="70" t="e">
        <f>IF(AND($F$11="ZC",$F$7=1),(Grundtoleranzen!Y37),IF(AND($F$11="ZC",$F$7=2),(Grundtoleranzen!Y37),IF(AND($F$11="ZC",$F$7=3),(Grundtoleranzen!Y37)+Grundtoleranzen!$Z37,IF(AND($F$11="ZC",$F$7=4),(Grundtoleranzen!Y37)+Grundtoleranzen!$AA37,IF(AND($F$11="ZC",$F$7=5),(Grundtoleranzen!Y37)+Grundtoleranzen!$AB37,IF(AND($F$11="ZC",$F$7=6),(Grundtoleranzen!Y37)+Grundtoleranzen!$AC37,IF(AND($F$11="ZC",$F$7=7),(Grundtoleranzen!Y37)+Grundtoleranzen!$AD37,IF(AND($F$11="ZC",$F$7=8),(Grundtoleranzen!Y37),IF(AND($F$11="ZC",$F$7=9),(Grundtoleranzen!Y37),IF(AND($F$11="ZC",$F$7=10),(Grundtoleranzen!Y37),IF(AND($F$11="ZC",$F$7=11),(Grundtoleranzen!Y37),IF(AND($F$11="ZC",$F$7=12),(Grundtoleranzen!Y37),IF(AND($F$11="ZC",$F$7=13),(Grundtoleranzen!Y37),IF(AND($F$11="ZC",$F$7=14),(Grundtoleranzen!Y37),IF(AND($F$11="ZC",$F$7=15),(Grundtoleranzen!Y37),IF(AND($F$11="ZC",$F$7=16),(Grundtoleranzen!Y37),IF(AND($F$11="ZC",$F$7=17),(Grundtoleranzen!Y37),IF(AND($F$11="ZC",$F$7=18),(Grundtoleranzen!Y37),"Error"))))))))))))))))))</f>
        <v>#REF!</v>
      </c>
    </row>
    <row r="6" spans="1:29" x14ac:dyDescent="0.25">
      <c r="A6" s="66">
        <v>4</v>
      </c>
      <c r="B6" s="66" t="s">
        <v>158</v>
      </c>
      <c r="C6" s="66" t="s">
        <v>99</v>
      </c>
      <c r="E6" s="348" t="s">
        <v>173</v>
      </c>
      <c r="F6" s="349"/>
      <c r="H6" s="24" t="s">
        <v>70</v>
      </c>
      <c r="I6" s="38" t="e">
        <f>IF(AND(F$7=1),Grundtoleranzen!B7,IF(AND(F$7=2),Grundtoleranzen!C7,IF(AND(F$7=3),Grundtoleranzen!D7,IF(AND(F$7=4),Grundtoleranzen!E7,IF(AND(F$7=5),Grundtoleranzen!F7,IF(AND(F$7=6),Grundtoleranzen!G7,IF(AND(F$7=7),Grundtoleranzen!H7,IF(AND(F$7=8),Grundtoleranzen!I7,IF(AND(F$7=9),Grundtoleranzen!J7,IF(AND(F$7=10),Grundtoleranzen!K7,IF(AND(F$7=11),Grundtoleranzen!L7,IF(AND(F$7=12),Grundtoleranzen!M7,IF(AND(F$7=13),Grundtoleranzen!N7,IF(AND(F$7=14),Grundtoleranzen!O7,IF(AND(F$7=15),Grundtoleranzen!P7,IF(AND(F$7=16),Grundtoleranzen!Q7,IF(AND(F$7=17),Grundtoleranzen!R7,IF(AND(F$7=18),Grundtoleranzen!S7))))))))))))))))))</f>
        <v>#REF!</v>
      </c>
      <c r="K6" s="24" t="s">
        <v>70</v>
      </c>
      <c r="L6" s="68" t="e">
        <f>IF(AND(F$11="C"),Grundtoleranzen!B38,IF(AND(F$11="D"),Grundtoleranzen!C38,IF(AND(F$11="E"),Grundtoleranzen!D38,IF(AND(F$11="F"),Grundtoleranzen!E38,IF(AND(F$11="G"),Grundtoleranzen!F38,IF(AND(F$11="H"),Grundtoleranzen!G38))))))</f>
        <v>#REF!</v>
      </c>
      <c r="M6" s="24" t="s">
        <v>70</v>
      </c>
      <c r="N6" s="70" t="e">
        <f>IF(AND(F$11="JS",F$7=1),(Grundtoleranzen!B7)/2,IF(AND(F$11="JS",F$7=2),(Grundtoleranzen!C7)/2,IF(AND(F$11="JS",F$7=3),(Grundtoleranzen!D7)/2,IF(AND(F$11="JS",F$7=4),(Grundtoleranzen!E7)/2,IF(AND(F$11="JS",F$7=5),(Grundtoleranzen!F7)/2,IF(AND(F$11="JS",F$7=6),(Grundtoleranzen!G7)/2,IF(AND(F$11="JS",F$7=7),(Grundtoleranzen!H7)/2,IF(AND(F$11="JS",F$7=8),(Grundtoleranzen!I7)/2,IF(AND(F$11="JS",F$7=9),(Grundtoleranzen!J7)/2,IF(AND(F$11="JS",F$7=10),(Grundtoleranzen!K7)/2,IF(AND(F$11="JS",F$7=11),(Grundtoleranzen!L7)/2,IF(AND(F$11="JS",F$7=12),(Grundtoleranzen!M7)/2,IF(AND(F$11="JS",F$7=13),(Grundtoleranzen!N7)/2,IF(AND(F$11="JS",F$7=14),(Grundtoleranzen!O7)/2,IF(AND(F$11="JS",F$7=15),(Grundtoleranzen!P7)/2,IF(AND(F$11="JS",F$7=16),(Grundtoleranzen!Q7)/2,IF(AND(F$11="JS",F$7=17),(Grundtoleranzen!R7)/2,IF(AND(F$11="JS",F$7=18),(Grundtoleranzen!S7)/2))))))))))))))))))*-1</f>
        <v>#REF!</v>
      </c>
      <c r="P6" s="70" t="e">
        <f>IF(AND(F$11="J",F$7=6),(Grundtoleranzen!I38),IF(AND(F$11="J",F$7=7),(Grundtoleranzen!J38),IF(AND(F$11="J",F$7=8),(Grundtoleranzen!K38),"Nur IT6-8")))</f>
        <v>#REF!</v>
      </c>
      <c r="Q6" s="83" t="e">
        <f>IF(AND($F$11="K",$F$7=1),(Grundtoleranzen!L38),IF(AND($F$11="K",$F$7=2),(Grundtoleranzen!L38),IF(AND($F$11="K",$F$7=3),(Grundtoleranzen!L38)+Grundtoleranzen!Z38,IF(AND($F$11="K",$F$7=4),(Grundtoleranzen!L38)+Grundtoleranzen!AA38,IF(AND($F$11="K",$F$7=5),(Grundtoleranzen!L38)+Grundtoleranzen!AB38,IF(AND($F$11="K",$F$7=6),(Grundtoleranzen!L38)+Grundtoleranzen!AC38,IF(AND($F$11="K",$F$7=7),(Grundtoleranzen!L38)+Grundtoleranzen!AD38,IF(AND($F$11="K",$F$7=8),(Grundtoleranzen!L38)+Grundtoleranzen!AE38,"Nur IT 1 - 8"))))))))</f>
        <v>#REF!</v>
      </c>
      <c r="R6" s="70" t="e">
        <f>IF(AND($F$11="M",$F$7=1),(Grundtoleranzen!M38),IF(AND($F$11="M",$F$7=2),(Grundtoleranzen!M38),IF(AND($F$11="M",$F$7=3),(Grundtoleranzen!M38)+Grundtoleranzen!$Z38,IF(AND($F$11="M",$F$7=4),(Grundtoleranzen!M38)+Grundtoleranzen!$AA38,IF(AND($F$11="M",$F$7=5),(Grundtoleranzen!M38)+Grundtoleranzen!$AB38,IF(AND($F$11="M",$F$7=6),(Grundtoleranzen!M38)+Grundtoleranzen!$AC38,IF(AND($F$11="M",$F$7=7),(Grundtoleranzen!M38)+Grundtoleranzen!$AD38,IF(AND($F$11="M",$F$7=8),(Grundtoleranzen!M38)+Grundtoleranzen!$AE38,IF(AND($F$11="M",$F$7=9),(Grundtoleranzen!M38),IF(AND($F$11="M",$F$7=10),(Grundtoleranzen!M38),IF(AND($F$11="M",$F$7=11),(Grundtoleranzen!M38),IF(AND($F$11="M",$F$7=12),(Grundtoleranzen!M38),IF(AND($F$11="M",$F$7=13),(Grundtoleranzen!M38),IF(AND($F$11="M",$F$7=14),(Grundtoleranzen!M38),IF(AND($F$11="M",$F$7=15),(Grundtoleranzen!M38),IF(AND($F$11="M",$F$7=16),(Grundtoleranzen!M38),IF(AND($F$11="M",$F$7=17),(Grundtoleranzen!M38),IF(AND($F$11="M",$F$7=18),(Grundtoleranzen!M38),"Error"))))))))))))))))))</f>
        <v>#REF!</v>
      </c>
      <c r="S6" s="70" t="e">
        <f>IF(AND($F$11="N",$F$7=1),(Grundtoleranzen!N38),IF(AND($F$11="N",$F$7=2),(Grundtoleranzen!N38),IF(AND($F$11="N",$F$7=3),(Grundtoleranzen!N38)+Grundtoleranzen!$Z38,IF(AND($F$11="N",$F$7=4),(Grundtoleranzen!N38)+Grundtoleranzen!$AA38,IF(AND($F$11="N",$F$7=5),(Grundtoleranzen!N38)+Grundtoleranzen!$AB38,IF(AND($F$11="N",$F$7=6),(Grundtoleranzen!N38)+Grundtoleranzen!$AC38,IF(AND($F$11="N",$F$7=7),(Grundtoleranzen!N38)+Grundtoleranzen!$AD38,IF(AND($F$11="N",$F$7=8),(Grundtoleranzen!N38)+Grundtoleranzen!$AE38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#REF!</v>
      </c>
      <c r="T6" s="70" t="e">
        <f>IF(AND($F$11="P",$F$7=1),(Grundtoleranzen!P38),IF(AND($F$11="P",$F$7=2),(Grundtoleranzen!P38),IF(AND($F$11="P",$F$7=3),(Grundtoleranzen!P38)+Grundtoleranzen!$Z38,IF(AND($F$11="P",$F$7=4),(Grundtoleranzen!P38)+Grundtoleranzen!$AA38,IF(AND($F$11="P",$F$7=5),(Grundtoleranzen!P38)+Grundtoleranzen!$AB38,IF(AND($F$11="P",$F$7=6),(Grundtoleranzen!P38)+Grundtoleranzen!$AC38,IF(AND($F$11="P",$F$7=7),(Grundtoleranzen!P38)+Grundtoleranzen!$AD38,IF(AND($F$11="P",$F$7=8),(Grundtoleranzen!P38),IF(AND($F$11="P",$F$7=9),(Grundtoleranzen!P38),IF(AND($F$11="P",$F$7=10),(Grundtoleranzen!P38),IF(AND($F$11="P",$F$7=11),(Grundtoleranzen!P38),IF(AND($F$11="P",$F$7=12),(Grundtoleranzen!P38),IF(AND($F$11="P",$F$7=13),(Grundtoleranzen!P38),IF(AND($F$11="P",$F$7=14),(Grundtoleranzen!P38),IF(AND($F$11="P",$F$7=15),(Grundtoleranzen!P38),IF(AND($F$11="P",$F$7=16),(Grundtoleranzen!P38),IF(AND($F$11="P",$F$7=17),(Grundtoleranzen!P38),IF(AND($F$11="P",$F$7=18),(Grundtoleranzen!P38),"Error"))))))))))))))))))</f>
        <v>#REF!</v>
      </c>
      <c r="U6" s="70" t="e">
        <f>IF(AND($F$11="R",$F$7=1),(Grundtoleranzen!Q38),IF(AND($F$11="R",$F$7=2),(Grundtoleranzen!Q38),IF(AND($F$11="R",$F$7=3),(Grundtoleranzen!Q38)+Grundtoleranzen!$Z38,IF(AND($F$11="R",$F$7=4),(Grundtoleranzen!Q38)+Grundtoleranzen!$AA38,IF(AND($F$11="R",$F$7=5),(Grundtoleranzen!Q38)+Grundtoleranzen!$AB38,IF(AND($F$11="R",$F$7=6),(Grundtoleranzen!Q38)+Grundtoleranzen!$AC38,IF(AND($F$11="R",$F$7=7),(Grundtoleranzen!Q38)+Grundtoleranzen!$AD38,IF(AND($F$11="R",$F$7=8),(Grundtoleranzen!Q38)+Grundtoleranzen!$AE38,IF(AND($F$11="R",$F$7=9),(Grundtoleranzen!Q38),IF(AND($F$11="R",$F$7=10),(Grundtoleranzen!Q38),IF(AND($F$11="R",$F$7=11),(Grundtoleranzen!Q38),IF(AND($F$11="R",$F$7=12),(Grundtoleranzen!Q38),IF(AND($F$11="R",$F$7=13),(Grundtoleranzen!Q38),IF(AND($F$11="R",$F$7=14),(Grundtoleranzen!Q38),IF(AND($F$11="R",$F$7=15),(Grundtoleranzen!Q38),IF(AND($F$11="R",$F$7=16),(Grundtoleranzen!Q38),IF(AND($F$11="R",$F$7=17),(Grundtoleranzen!Q38),IF(AND($F$11="R",$F$7=18),(Grundtoleranzen!Q38),"Error"))))))))))))))))))</f>
        <v>#REF!</v>
      </c>
      <c r="V6" s="70" t="e">
        <f>IF(AND($F$11="S",$F$7=1),Grundtoleranzen!R38,IF(AND($F$11="S",$F$7=2),(Grundtoleranzen!R38),IF(AND($F$11="S",$F$7=3),(Grundtoleranzen!R38)+Grundtoleranzen!$Z38,IF(AND($F$11="S",$F$7=4),(Grundtoleranzen!R38)+Grundtoleranzen!$AA38,IF(AND($F$11="S",$F$7=5),(Grundtoleranzen!R38)+Grundtoleranzen!$AB38,IF(AND($F$11="S",$F$7=6),(Grundtoleranzen!R38)+Grundtoleranzen!$AC38,IF(AND($F$11="S",$F$7=7),(Grundtoleranzen!R38)+Grundtoleranzen!$AD38,IF(AND($F$11="S",$F$7=8),(Grundtoleranzen!R38),IF(AND($F$11="S",$F$7=9),(Grundtoleranzen!R38),IF(AND($F$11="S",$F$7=10),(Grundtoleranzen!R38),IF(AND($F$11="S",$F$7=11),(Grundtoleranzen!R38),IF(AND($F$11="S",$F$7=12),(Grundtoleranzen!R38),IF(AND($F$11="S",$F$7=13),(Grundtoleranzen!R38),IF(AND($F$11="S",$F$7=14),(Grundtoleranzen!R38),IF(AND($F$11="S",$F$7=15),(Grundtoleranzen!R38),IF(AND($F$11="S",$F$7=16),(Grundtoleranzen!R38),IF(AND($F$11="S",$F$7=17),(Grundtoleranzen!R38),IF(AND($F$11="S",$F$7=18),(Grundtoleranzen!R38),"Error"))))))))))))))))))</f>
        <v>#REF!</v>
      </c>
      <c r="W6" s="70" t="e">
        <f>IF(AND($F$11="T",$F$7=1),(Grundtoleranzen!S38),IF(AND($F$11="T",$F$7=2),(Grundtoleranzen!S38),IF(AND($F$11="T",$F$7=3),(Grundtoleranzen!S38)+Grundtoleranzen!$Z38,IF(AND($F$11="T",$F$7=4),(Grundtoleranzen!S38)+Grundtoleranzen!$AA38,IF(AND($F$11="T",$F$7=5),(Grundtoleranzen!S38)+Grundtoleranzen!$AB38,IF(AND($F$11="T",$F$7=6),(Grundtoleranzen!S38)+Grundtoleranzen!$AC38,IF(AND($F$11="T",$F$7=7),(Grundtoleranzen!S38)+Grundtoleranzen!$AD38,IF(AND($F$11="T",$F$7=8),(Grundtoleranzen!S38),IF(AND($F$11="T",$F$7=9),(Grundtoleranzen!S38),IF(AND($F$11="T",$F$7=10),(Grundtoleranzen!S38),IF(AND($F$11="T",$F$7=11),(Grundtoleranzen!S38),IF(AND($F$11="T",$F$7=12),(Grundtoleranzen!S38),IF(AND($F$11="T",$F$7=13),(Grundtoleranzen!S38),IF(AND($F$11="T",$F$7=14),(Grundtoleranzen!S38),IF(AND($F$11="T",$F$7=15),(Grundtoleranzen!S38),IF(AND($F$11="T",$F$7=16),(Grundtoleranzen!S38),IF(AND($F$11="T",$F$7=17),(Grundtoleranzen!S38),IF(AND($F$11="T",$F$7=18),(Grundtoleranzen!S38),"Error"))))))))))))))))))</f>
        <v>#REF!</v>
      </c>
      <c r="X6" s="70" t="e">
        <f>IF(AND($F$11="U",$F$7=1),(Grundtoleranzen!T38),IF(AND($F$11="U",$F$7=2),(Grundtoleranzen!T38),IF(AND($F$11="U",$F$7=3),(Grundtoleranzen!T38)+Grundtoleranzen!$Z38,IF(AND($F$11="U",$F$7=4),(Grundtoleranzen!T38)+Grundtoleranzen!$AA38,IF(AND($F$11="U",$F$7=5),(Grundtoleranzen!T38)+Grundtoleranzen!$AB38,IF(AND($F$11="U",$F$7=6),(Grundtoleranzen!T38)+Grundtoleranzen!$AC38,IF(AND($F$11="U",$F$7=7),(Grundtoleranzen!T38)+Grundtoleranzen!$AD38,IF(AND($F$11="U",$F$7=8),(Grundtoleranzen!T38),IF(AND($F$11="U",$F$7=9),(Grundtoleranzen!T38),IF(AND($F$11="U",$F$7=10),(Grundtoleranzen!T38),IF(AND($F$11="U",$F$7=11),(Grundtoleranzen!T38),IF(AND($F$11="U",$F$7=12),(Grundtoleranzen!T38),IF(AND($F$11="U",$F$7=13),(Grundtoleranzen!T38),IF(AND($F$11="U",$F$7=14),(Grundtoleranzen!T38),IF(AND($F$11="U",$F$7=15),(Grundtoleranzen!T38),IF(AND($F$11="U",$F$7=16),(Grundtoleranzen!T38),IF(AND($F$11="U",$F$7=17),(Grundtoleranzen!T38),IF(AND($F$11="U",$F$7=18),(Grundtoleranzen!T38),"Error"))))))))))))))))))</f>
        <v>#REF!</v>
      </c>
      <c r="Y6" s="70" t="e">
        <f>IF(AND($F$11="X",$F$7=1),(Grundtoleranzen!U38),IF(AND($F$11="X",$F$7=2),(Grundtoleranzen!U38),IF(AND($F$11="X",$F$7=3),(Grundtoleranzen!U38)+Grundtoleranzen!$Z38,IF(AND($F$11="X",$F$7=4),(Grundtoleranzen!U38)+Grundtoleranzen!$AA38,IF(AND($F$11="X",$F$7=5),(Grundtoleranzen!U38)+Grundtoleranzen!$AB38,IF(AND($F$11="X",$F$7=6),(Grundtoleranzen!U38)+Grundtoleranzen!$AC38,IF(AND($F$11="X",$F$7=7),(Grundtoleranzen!U38)+Grundtoleranzen!$AD38,IF(AND($F$11="X",$F$7=8),(Grundtoleranzen!U38)+Grundtoleranzen!$AE38,IF(AND($F$11="X",$F$7=9),(Grundtoleranzen!U38),IF(AND($F$11="X",$F$7=10),(Grundtoleranzen!U38),IF(AND($F$11="X",$F$7=11),(Grundtoleranzen!U38),IF(AND($F$11="X",$F$7=12),(Grundtoleranzen!U38),IF(AND($F$11="X",$F$7=13),(Grundtoleranzen!U38),IF(AND($F$11="X",$F$7=14),(Grundtoleranzen!U38),IF(AND($F$11="X",$F$7=15),(Grundtoleranzen!U38),IF(AND($F$11="X",$F$7=16),(Grundtoleranzen!U38),IF(AND($F$11="X",$F$7=17),(Grundtoleranzen!U38),IF(AND($F$11="X",$F$7=18),(Grundtoleranzen!U38),"Error"))))))))))))))))))</f>
        <v>#REF!</v>
      </c>
      <c r="Z6" s="70" t="e">
        <f>IF(AND($F$11="Z",$F$7=1),(Grundtoleranzen!V38),IF(AND($F$11="Z",$F$7=2),(Grundtoleranzen!V38),IF(AND($F$11="Z",$F$7=3),(Grundtoleranzen!V38)+Grundtoleranzen!$Z38,IF(AND($F$11="Z",$F$7=4),(Grundtoleranzen!V38)+Grundtoleranzen!$AA38,IF(AND($F$11="Z",$F$7=5),(Grundtoleranzen!V38)+Grundtoleranzen!$AB38,IF(AND($F$11="Z",$F$7=6),(Grundtoleranzen!V38)+Grundtoleranzen!$AC38,IF(AND($F$11="Z",$F$7=7),(Grundtoleranzen!V38)+Grundtoleranzen!$AD38,IF(AND($F$11="Z",$F$7=8),(Grundtoleranzen!V38),IF(AND($F$11="Z",$F$7=9),(Grundtoleranzen!V38),IF(AND($F$11="Z",$F$7=10),(Grundtoleranzen!V38),IF(AND($F$11="Z",$F$7=11),(Grundtoleranzen!V38),IF(AND($F$11="Z",$F$7=12),(Grundtoleranzen!V38),IF(AND($F$11="Z",$F$7=13),(Grundtoleranzen!V38),IF(AND($F$11="Z",$F$7=14),(Grundtoleranzen!V38),IF(AND($F$11="Z",$F$7=15),(Grundtoleranzen!V38),IF(AND($F$11="Z",$F$7=16),(Grundtoleranzen!V38),IF(AND($F$11="Z",$F$7=17),(Grundtoleranzen!V38),IF(AND($F$11="Z",$F$7=18),(Grundtoleranzen!V38),"Error"))))))))))))))))))</f>
        <v>#REF!</v>
      </c>
      <c r="AA6" s="70" t="e">
        <f>IF(AND($F$11="ZA",$F$7=1),(Grundtoleranzen!W38),IF(AND($F$11="ZA",$F$7=2),(Grundtoleranzen!W38),IF(AND($F$11="ZA",$F$7=3),(Grundtoleranzen!W38)+Grundtoleranzen!$Z38,IF(AND($F$11="ZA",$F$7=4),(Grundtoleranzen!W38)+Grundtoleranzen!$AA38,IF(AND($F$11="ZA",$F$7=5),(Grundtoleranzen!W38)+Grundtoleranzen!$AB38,IF(AND($F$11="ZA",$F$7=6),(Grundtoleranzen!W38)+Grundtoleranzen!$AC38,IF(AND($F$11="ZA",$F$7=7),(Grundtoleranzen!W38)+Grundtoleranzen!$AD38,IF(AND($F$11="ZA",$F$7=8),(Grundtoleranzen!W38),IF(AND($F$11="ZA",$F$7=9),(Grundtoleranzen!W38),IF(AND($F$11="ZA",$F$7=10),(Grundtoleranzen!W38),IF(AND($F$11="ZA",$F$7=11),(Grundtoleranzen!W38),IF(AND($F$11="ZA",$F$7=12),(Grundtoleranzen!W38),IF(AND($F$11="ZA",$F$7=13),(Grundtoleranzen!W38),IF(AND($F$11="ZA",$F$7=14),(Grundtoleranzen!W38),IF(AND($F$11="ZA",$F$7=15),(Grundtoleranzen!W38),IF(AND($F$11="ZA",$F$7=16),(Grundtoleranzen!W38),IF(AND($F$11="ZA",$F$7=17),(Grundtoleranzen!W38),IF(AND($F$11="ZA",$F$7=18),(Grundtoleranzen!W38),"Error"))))))))))))))))))</f>
        <v>#REF!</v>
      </c>
      <c r="AB6" s="70" t="e">
        <f>IF(AND($F$11="ZB",$F$7=1),(Grundtoleranzen!X38),IF(AND($F$11="ZB",$F$7=2),(Grundtoleranzen!X38),IF(AND($F$11="ZB",$F$7=3),(Grundtoleranzen!X38)+Grundtoleranzen!$Z38,IF(AND($F$11="ZB",$F$7=4),(Grundtoleranzen!X38)+Grundtoleranzen!$AA38,IF(AND($F$11="ZB",$F$7=5),(Grundtoleranzen!X38)+Grundtoleranzen!$AB38,IF(AND($F$11="ZB",$F$7=6),(Grundtoleranzen!X38)+Grundtoleranzen!$AC38,IF(AND($F$11="ZB",$F$7=7),(Grundtoleranzen!X38)+Grundtoleranzen!$AD38,IF(AND($F$11="ZB",$F$7=8),(Grundtoleranzen!X38),IF(AND($F$11="ZB",$F$7=9),(Grundtoleranzen!X38),IF(AND($F$11="ZB",$F$7=10),(Grundtoleranzen!X38),IF(AND($F$11="ZB",$F$7=11),(Grundtoleranzen!X38),IF(AND($F$11="ZB",$F$7=12),(Grundtoleranzen!X38),IF(AND($F$11="ZB",$F$7=13),(Grundtoleranzen!X38),IF(AND($F$11="ZB",$F$7=14),(Grundtoleranzen!X38),IF(AND($F$11="ZB",$F$7=15),(Grundtoleranzen!X38),IF(AND($F$11="ZB",$F$7=16),(Grundtoleranzen!X38),IF(AND($F$11="ZB",$F$7=17),(Grundtoleranzen!X38),IF(AND($F$11="ZB",$F$7=18),(Grundtoleranzen!X38),"Error"))))))))))))))))))</f>
        <v>#REF!</v>
      </c>
      <c r="AC6" s="70" t="e">
        <f>IF(AND($F$11="ZC",$F$7=1),(Grundtoleranzen!Y38),IF(AND($F$11="ZC",$F$7=2),(Grundtoleranzen!Y38),IF(AND($F$11="ZC",$F$7=3),(Grundtoleranzen!Y38)+Grundtoleranzen!$Z38,IF(AND($F$11="ZC",$F$7=4),(Grundtoleranzen!Y38)+Grundtoleranzen!$AA38,IF(AND($F$11="ZC",$F$7=5),(Grundtoleranzen!Y38)+Grundtoleranzen!$AB38,IF(AND($F$11="ZC",$F$7=6),(Grundtoleranzen!Y38)+Grundtoleranzen!$AC38,IF(AND($F$11="ZC",$F$7=7),(Grundtoleranzen!Y38)+Grundtoleranzen!$AD38,IF(AND($F$11="ZC",$F$7=8),(Grundtoleranzen!Y38),IF(AND($F$11="ZC",$F$7=9),(Grundtoleranzen!Y38),IF(AND($F$11="ZC",$F$7=10),(Grundtoleranzen!Y38),IF(AND($F$11="ZC",$F$7=11),(Grundtoleranzen!Y38),IF(AND($F$11="ZC",$F$7=12),(Grundtoleranzen!Y38),IF(AND($F$11="ZC",$F$7=13),(Grundtoleranzen!Y38),IF(AND($F$11="ZC",$F$7=14),(Grundtoleranzen!Y38),IF(AND($F$11="ZC",$F$7=15),(Grundtoleranzen!Y38),IF(AND($F$11="ZC",$F$7=16),(Grundtoleranzen!Y38),IF(AND($F$11="ZC",$F$7=17),(Grundtoleranzen!Y38),IF(AND($F$11="ZC",$F$7=18),(Grundtoleranzen!Y38),"Error"))))))))))))))))))</f>
        <v>#REF!</v>
      </c>
    </row>
    <row r="7" spans="1:29" ht="15.75" thickBot="1" x14ac:dyDescent="0.3">
      <c r="A7" s="66">
        <v>5</v>
      </c>
      <c r="B7" s="66" t="s">
        <v>159</v>
      </c>
      <c r="C7" s="66" t="s">
        <v>100</v>
      </c>
      <c r="E7" s="36" t="s">
        <v>6</v>
      </c>
      <c r="F7" s="37" t="e">
        <f>'Allg.toleranzen DIN ISO 2768'!#REF!</f>
        <v>#REF!</v>
      </c>
      <c r="H7" s="24" t="s">
        <v>71</v>
      </c>
      <c r="I7" s="38" t="e">
        <f>IF(AND(F$7=1),Grundtoleranzen!B8,IF(AND(F$7=2),Grundtoleranzen!C8,IF(AND(F$7=3),Grundtoleranzen!D8,IF(AND(F$7=4),Grundtoleranzen!E8,IF(AND(F$7=5),Grundtoleranzen!F8,IF(AND(F$7=6),Grundtoleranzen!G8,IF(AND(F$7=7),Grundtoleranzen!H8,IF(AND(F$7=8),Grundtoleranzen!I8,IF(AND(F$7=9),Grundtoleranzen!J8,IF(AND(F$7=10),Grundtoleranzen!K8,IF(AND(F$7=11),Grundtoleranzen!L8,IF(AND(F$7=12),Grundtoleranzen!M8,IF(AND(F$7=13),Grundtoleranzen!N8,IF(AND(F$7=14),Grundtoleranzen!O8,IF(AND(F$7=15),Grundtoleranzen!P8,IF(AND(F$7=16),Grundtoleranzen!Q8,IF(AND(F$7=17),Grundtoleranzen!R8,IF(AND(F$7=18),Grundtoleranzen!S8))))))))))))))))))</f>
        <v>#REF!</v>
      </c>
      <c r="K7" s="24" t="s">
        <v>71</v>
      </c>
      <c r="L7" s="68" t="e">
        <f>IF(AND(F$11="C"),Grundtoleranzen!B39,IF(AND(F$11="D"),Grundtoleranzen!C39,IF(AND(F$11="E"),Grundtoleranzen!D39,IF(AND(F$11="F"),Grundtoleranzen!E39,IF(AND(F$11="G"),Grundtoleranzen!F39,IF(AND(F$11="H"),Grundtoleranzen!G39))))))</f>
        <v>#REF!</v>
      </c>
      <c r="M7" s="24" t="s">
        <v>71</v>
      </c>
      <c r="N7" s="70" t="e">
        <f>IF(AND(F$11="JS",F$7=1),(Grundtoleranzen!B8)/2,IF(AND(F$11="JS",F$7=2),(Grundtoleranzen!C8)/2,IF(AND(F$11="JS",F$7=3),(Grundtoleranzen!D8)/2,IF(AND(F$11="JS",F$7=4),(Grundtoleranzen!E8)/2,IF(AND(F$11="JS",F$7=5),(Grundtoleranzen!F8)/2,IF(AND(F$11="JS",F$7=6),(Grundtoleranzen!G8)/2,IF(AND(F$11="JS",F$7=7),(Grundtoleranzen!H8)/2,IF(AND(F$11="JS",F$7=8),(Grundtoleranzen!I8)/2,IF(AND(F$11="JS",F$7=9),(Grundtoleranzen!J8)/2,IF(AND(F$11="JS",F$7=10),(Grundtoleranzen!K8)/2,IF(AND(F$11="JS",F$7=11),(Grundtoleranzen!L8)/2,IF(AND(F$11="JS",F$7=12),(Grundtoleranzen!M8)/2,IF(AND(F$11="JS",F$7=13),(Grundtoleranzen!N8)/2,IF(AND(F$11="JS",F$7=14),(Grundtoleranzen!O8)/2,IF(AND(F$11="JS",F$7=15),(Grundtoleranzen!P8)/2,IF(AND(F$11="JS",F$7=16),(Grundtoleranzen!Q8)/2,IF(AND(F$11="JS",F$7=17),(Grundtoleranzen!R8)/2,IF(AND(F$11="JS",F$7=18),(Grundtoleranzen!S8)/2))))))))))))))))))*-1</f>
        <v>#REF!</v>
      </c>
      <c r="P7" s="70" t="e">
        <f>IF(AND(F$11="J",F$7=6),(Grundtoleranzen!I39),IF(AND(F$11="J",F$7=7),(Grundtoleranzen!J39),IF(AND(F$11="J",F$7=8),(Grundtoleranzen!K39),"Nur IT6-8")))</f>
        <v>#REF!</v>
      </c>
      <c r="Q7" s="83" t="e">
        <f>IF(AND($F$11="K",$F$7=1),(Grundtoleranzen!L39),IF(AND($F$11="K",$F$7=2),(Grundtoleranzen!L39),IF(AND($F$11="K",$F$7=3),(Grundtoleranzen!L39)+Grundtoleranzen!Z39,IF(AND($F$11="K",$F$7=4),(Grundtoleranzen!L39)+Grundtoleranzen!AA39,IF(AND($F$11="K",$F$7=5),(Grundtoleranzen!L39)+Grundtoleranzen!AB39,IF(AND($F$11="K",$F$7=6),(Grundtoleranzen!L39)+Grundtoleranzen!AC39,IF(AND($F$11="K",$F$7=7),(Grundtoleranzen!L39)+Grundtoleranzen!AD39,IF(AND($F$11="K",$F$7=8),(Grundtoleranzen!L39)+Grundtoleranzen!AE39,"Nur IT 1 - 8"))))))))</f>
        <v>#REF!</v>
      </c>
      <c r="R7" s="70" t="e">
        <f>IF(AND($F$11="M",$F$7=1),(Grundtoleranzen!M39),IF(AND($F$11="M",$F$7=2),(Grundtoleranzen!M39),IF(AND($F$11="M",$F$7=3),(Grundtoleranzen!M39)+Grundtoleranzen!$Z39,IF(AND($F$11="M",$F$7=4),(Grundtoleranzen!M39)+Grundtoleranzen!$AA39,IF(AND($F$11="M",$F$7=5),(Grundtoleranzen!M39)+Grundtoleranzen!$AB39,IF(AND($F$11="M",$F$7=6),(Grundtoleranzen!M39)+Grundtoleranzen!$AC39,IF(AND($F$11="M",$F$7=7),(Grundtoleranzen!M39)+Grundtoleranzen!$AD39,IF(AND($F$11="M",$F$7=8),(Grundtoleranzen!M39)+Grundtoleranzen!$AE39,IF(AND($F$11="M",$F$7=9),(Grundtoleranzen!M39),IF(AND($F$11="M",$F$7=10),(Grundtoleranzen!M39),IF(AND($F$11="M",$F$7=11),(Grundtoleranzen!M39),IF(AND($F$11="M",$F$7=12),(Grundtoleranzen!M39),IF(AND($F$11="M",$F$7=13),(Grundtoleranzen!M39),IF(AND($F$11="M",$F$7=14),(Grundtoleranzen!M39),IF(AND($F$11="M",$F$7=15),(Grundtoleranzen!M39),IF(AND($F$11="M",$F$7=16),(Grundtoleranzen!M39),IF(AND($F$11="M",$F$7=17),(Grundtoleranzen!M39),IF(AND($F$11="M",$F$7=18),(Grundtoleranzen!M39),"Error"))))))))))))))))))</f>
        <v>#REF!</v>
      </c>
      <c r="S7" s="70" t="e">
        <f>IF(AND($F$11="N",$F$7=1),(Grundtoleranzen!N39),IF(AND($F$11="N",$F$7=2),(Grundtoleranzen!N39),IF(AND($F$11="N",$F$7=3),(Grundtoleranzen!N39)+Grundtoleranzen!$Z39,IF(AND($F$11="N",$F$7=4),(Grundtoleranzen!N39)+Grundtoleranzen!$AA39,IF(AND($F$11="N",$F$7=5),(Grundtoleranzen!N39)+Grundtoleranzen!$AB39,IF(AND($F$11="N",$F$7=6),(Grundtoleranzen!N39)+Grundtoleranzen!$AC39,IF(AND($F$11="N",$F$7=7),(Grundtoleranzen!N39)+Grundtoleranzen!$AD39,IF(AND($F$11="N",$F$7=8),(Grundtoleranzen!N39)+Grundtoleranzen!$AE39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#REF!</v>
      </c>
      <c r="T7" s="70" t="e">
        <f>IF(AND($F$11="P",$F$7=1),(Grundtoleranzen!P39),IF(AND($F$11="P",$F$7=2),(Grundtoleranzen!P39),IF(AND($F$11="P",$F$7=3),(Grundtoleranzen!P39)+Grundtoleranzen!$Z39,IF(AND($F$11="P",$F$7=4),(Grundtoleranzen!P39)+Grundtoleranzen!$AA39,IF(AND($F$11="P",$F$7=5),(Grundtoleranzen!P39)+Grundtoleranzen!$AB39,IF(AND($F$11="P",$F$7=6),(Grundtoleranzen!P39)+Grundtoleranzen!$AC39,IF(AND($F$11="P",$F$7=7),(Grundtoleranzen!P39)+Grundtoleranzen!$AD39,IF(AND($F$11="P",$F$7=8),(Grundtoleranzen!P39),IF(AND($F$11="P",$F$7=9),(Grundtoleranzen!P39),IF(AND($F$11="P",$F$7=10),(Grundtoleranzen!P39),IF(AND($F$11="P",$F$7=11),(Grundtoleranzen!P39),IF(AND($F$11="P",$F$7=12),(Grundtoleranzen!P39),IF(AND($F$11="P",$F$7=13),(Grundtoleranzen!P39),IF(AND($F$11="P",$F$7=14),(Grundtoleranzen!P39),IF(AND($F$11="P",$F$7=15),(Grundtoleranzen!P39),IF(AND($F$11="P",$F$7=16),(Grundtoleranzen!P39),IF(AND($F$11="P",$F$7=17),(Grundtoleranzen!P39),IF(AND($F$11="P",$F$7=18),(Grundtoleranzen!P39),"Error"))))))))))))))))))</f>
        <v>#REF!</v>
      </c>
      <c r="U7" s="70" t="e">
        <f>IF(AND($F$11="R",$F$7=1),(Grundtoleranzen!Q39),IF(AND($F$11="R",$F$7=2),(Grundtoleranzen!Q39),IF(AND($F$11="R",$F$7=3),(Grundtoleranzen!Q39)+Grundtoleranzen!$Z39,IF(AND($F$11="R",$F$7=4),(Grundtoleranzen!Q39)+Grundtoleranzen!$AA39,IF(AND($F$11="R",$F$7=5),(Grundtoleranzen!Q39)+Grundtoleranzen!$AB39,IF(AND($F$11="R",$F$7=6),(Grundtoleranzen!Q39)+Grundtoleranzen!$AC39,IF(AND($F$11="R",$F$7=7),(Grundtoleranzen!Q39)+Grundtoleranzen!$AD39,IF(AND($F$11="R",$F$7=8),(Grundtoleranzen!Q39)+Grundtoleranzen!$AE39,IF(AND($F$11="R",$F$7=9),(Grundtoleranzen!Q39),IF(AND($F$11="R",$F$7=10),(Grundtoleranzen!Q39),IF(AND($F$11="R",$F$7=11),(Grundtoleranzen!Q39),IF(AND($F$11="R",$F$7=12),(Grundtoleranzen!Q39),IF(AND($F$11="R",$F$7=13),(Grundtoleranzen!Q39),IF(AND($F$11="R",$F$7=14),(Grundtoleranzen!Q39),IF(AND($F$11="R",$F$7=15),(Grundtoleranzen!Q39),IF(AND($F$11="R",$F$7=16),(Grundtoleranzen!Q39),IF(AND($F$11="R",$F$7=17),(Grundtoleranzen!Q39),IF(AND($F$11="R",$F$7=18),(Grundtoleranzen!Q39),"Error"))))))))))))))))))</f>
        <v>#REF!</v>
      </c>
      <c r="V7" s="70" t="e">
        <f>IF(AND($F$11="S",$F$7=1),Grundtoleranzen!R39,IF(AND($F$11="S",$F$7=2),(Grundtoleranzen!R39),IF(AND($F$11="S",$F$7=3),(Grundtoleranzen!R39)+Grundtoleranzen!$Z39,IF(AND($F$11="S",$F$7=4),(Grundtoleranzen!R39)+Grundtoleranzen!$AA39,IF(AND($F$11="S",$F$7=5),(Grundtoleranzen!R39)+Grundtoleranzen!$AB39,IF(AND($F$11="S",$F$7=6),(Grundtoleranzen!R39)+Grundtoleranzen!$AC39,IF(AND($F$11="S",$F$7=7),(Grundtoleranzen!R39)+Grundtoleranzen!$AD39,IF(AND($F$11="S",$F$7=8),(Grundtoleranzen!R39),IF(AND($F$11="S",$F$7=9),(Grundtoleranzen!R39),IF(AND($F$11="S",$F$7=10),(Grundtoleranzen!R39),IF(AND($F$11="S",$F$7=11),(Grundtoleranzen!R39),IF(AND($F$11="S",$F$7=12),(Grundtoleranzen!R39),IF(AND($F$11="S",$F$7=13),(Grundtoleranzen!R39),IF(AND($F$11="S",$F$7=14),(Grundtoleranzen!R39),IF(AND($F$11="S",$F$7=15),(Grundtoleranzen!R39),IF(AND($F$11="S",$F$7=16),(Grundtoleranzen!R39),IF(AND($F$11="S",$F$7=17),(Grundtoleranzen!R39),IF(AND($F$11="S",$F$7=18),(Grundtoleranzen!R39),"Error"))))))))))))))))))</f>
        <v>#REF!</v>
      </c>
      <c r="W7" s="70" t="e">
        <f>IF(AND($F$11="T",$F$7=1),(Grundtoleranzen!S39),IF(AND($F$11="T",$F$7=2),(Grundtoleranzen!S39),IF(AND($F$11="T",$F$7=3),(Grundtoleranzen!S39)+Grundtoleranzen!$Z39,IF(AND($F$11="T",$F$7=4),(Grundtoleranzen!S39)+Grundtoleranzen!$AA39,IF(AND($F$11="T",$F$7=5),(Grundtoleranzen!S39)+Grundtoleranzen!$AB39,IF(AND($F$11="T",$F$7=6),(Grundtoleranzen!S39)+Grundtoleranzen!$AC39,IF(AND($F$11="T",$F$7=7),(Grundtoleranzen!S39)+Grundtoleranzen!$AD39,IF(AND($F$11="T",$F$7=8),(Grundtoleranzen!S39),IF(AND($F$11="T",$F$7=9),(Grundtoleranzen!S39),IF(AND($F$11="T",$F$7=10),(Grundtoleranzen!S39),IF(AND($F$11="T",$F$7=11),(Grundtoleranzen!S39),IF(AND($F$11="T",$F$7=12),(Grundtoleranzen!S39),IF(AND($F$11="T",$F$7=13),(Grundtoleranzen!S39),IF(AND($F$11="T",$F$7=14),(Grundtoleranzen!S39),IF(AND($F$11="T",$F$7=15),(Grundtoleranzen!S39),IF(AND($F$11="T",$F$7=16),(Grundtoleranzen!S39),IF(AND($F$11="T",$F$7=17),(Grundtoleranzen!S39),IF(AND($F$11="T",$F$7=18),(Grundtoleranzen!S39),"Error"))))))))))))))))))</f>
        <v>#REF!</v>
      </c>
      <c r="X7" s="70" t="e">
        <f>IF(AND($F$11="U",$F$7=1),(Grundtoleranzen!T39),IF(AND($F$11="U",$F$7=2),(Grundtoleranzen!T39),IF(AND($F$11="U",$F$7=3),(Grundtoleranzen!T39)+Grundtoleranzen!$Z39,IF(AND($F$11="U",$F$7=4),(Grundtoleranzen!T39)+Grundtoleranzen!$AA39,IF(AND($F$11="U",$F$7=5),(Grundtoleranzen!T39)+Grundtoleranzen!$AB39,IF(AND($F$11="U",$F$7=6),(Grundtoleranzen!T39)+Grundtoleranzen!$AC39,IF(AND($F$11="U",$F$7=7),(Grundtoleranzen!T39)+Grundtoleranzen!$AD39,IF(AND($F$11="U",$F$7=8),(Grundtoleranzen!T39),IF(AND($F$11="U",$F$7=9),(Grundtoleranzen!T39),IF(AND($F$11="U",$F$7=10),(Grundtoleranzen!T39),IF(AND($F$11="U",$F$7=11),(Grundtoleranzen!T39),IF(AND($F$11="U",$F$7=12),(Grundtoleranzen!T39),IF(AND($F$11="U",$F$7=13),(Grundtoleranzen!T39),IF(AND($F$11="U",$F$7=14),(Grundtoleranzen!T39),IF(AND($F$11="U",$F$7=15),(Grundtoleranzen!T39),IF(AND($F$11="U",$F$7=16),(Grundtoleranzen!T39),IF(AND($F$11="U",$F$7=17),(Grundtoleranzen!T39),IF(AND($F$11="U",$F$7=18),(Grundtoleranzen!T39),"Error"))))))))))))))))))</f>
        <v>#REF!</v>
      </c>
      <c r="Y7" s="70" t="e">
        <f>IF(AND($F$11="X",$F$7=1),(Grundtoleranzen!U39),IF(AND($F$11="X",$F$7=2),(Grundtoleranzen!U39),IF(AND($F$11="X",$F$7=3),(Grundtoleranzen!U39)+Grundtoleranzen!$Z39,IF(AND($F$11="X",$F$7=4),(Grundtoleranzen!U39)+Grundtoleranzen!$AA39,IF(AND($F$11="X",$F$7=5),(Grundtoleranzen!U39)+Grundtoleranzen!$AB39,IF(AND($F$11="X",$F$7=6),(Grundtoleranzen!U39)+Grundtoleranzen!$AC39,IF(AND($F$11="X",$F$7=7),(Grundtoleranzen!U39)+Grundtoleranzen!$AD39,IF(AND($F$11="X",$F$7=8),(Grundtoleranzen!U39)+Grundtoleranzen!$AE39,IF(AND($F$11="X",$F$7=9),(Grundtoleranzen!U39),IF(AND($F$11="X",$F$7=10),(Grundtoleranzen!U39),IF(AND($F$11="X",$F$7=11),(Grundtoleranzen!U39),IF(AND($F$11="X",$F$7=12),(Grundtoleranzen!U39),IF(AND($F$11="X",$F$7=13),(Grundtoleranzen!U39),IF(AND($F$11="X",$F$7=14),(Grundtoleranzen!U39),IF(AND($F$11="X",$F$7=15),(Grundtoleranzen!U39),IF(AND($F$11="X",$F$7=16),(Grundtoleranzen!U39),IF(AND($F$11="X",$F$7=17),(Grundtoleranzen!U39),IF(AND($F$11="X",$F$7=18),(Grundtoleranzen!U39),"Error"))))))))))))))))))</f>
        <v>#REF!</v>
      </c>
      <c r="Z7" s="70" t="e">
        <f>IF(AND($F$11="Z",$F$7=1),(Grundtoleranzen!V39),IF(AND($F$11="Z",$F$7=2),(Grundtoleranzen!V39),IF(AND($F$11="Z",$F$7=3),(Grundtoleranzen!V39)+Grundtoleranzen!$Z39,IF(AND($F$11="Z",$F$7=4),(Grundtoleranzen!V39)+Grundtoleranzen!$AA39,IF(AND($F$11="Z",$F$7=5),(Grundtoleranzen!V39)+Grundtoleranzen!$AB39,IF(AND($F$11="Z",$F$7=6),(Grundtoleranzen!V39)+Grundtoleranzen!$AC39,IF(AND($F$11="Z",$F$7=7),(Grundtoleranzen!V39)+Grundtoleranzen!$AD39,IF(AND($F$11="Z",$F$7=8),(Grundtoleranzen!V39),IF(AND($F$11="Z",$F$7=9),(Grundtoleranzen!V39),IF(AND($F$11="Z",$F$7=10),(Grundtoleranzen!V39),IF(AND($F$11="Z",$F$7=11),(Grundtoleranzen!V39),IF(AND($F$11="Z",$F$7=12),(Grundtoleranzen!V39),IF(AND($F$11="Z",$F$7=13),(Grundtoleranzen!V39),IF(AND($F$11="Z",$F$7=14),(Grundtoleranzen!V39),IF(AND($F$11="Z",$F$7=15),(Grundtoleranzen!V39),IF(AND($F$11="Z",$F$7=16),(Grundtoleranzen!V39),IF(AND($F$11="Z",$F$7=17),(Grundtoleranzen!V39),IF(AND($F$11="Z",$F$7=18),(Grundtoleranzen!V39),"Error"))))))))))))))))))</f>
        <v>#REF!</v>
      </c>
      <c r="AA7" s="70" t="e">
        <f>IF(AND($F$11="ZA",$F$7=1),(Grundtoleranzen!W39),IF(AND($F$11="ZA",$F$7=2),(Grundtoleranzen!W39),IF(AND($F$11="ZA",$F$7=3),(Grundtoleranzen!W39)+Grundtoleranzen!$Z39,IF(AND($F$11="ZA",$F$7=4),(Grundtoleranzen!W39)+Grundtoleranzen!$AA39,IF(AND($F$11="ZA",$F$7=5),(Grundtoleranzen!W39)+Grundtoleranzen!$AB39,IF(AND($F$11="ZA",$F$7=6),(Grundtoleranzen!W39)+Grundtoleranzen!$AC39,IF(AND($F$11="ZA",$F$7=7),(Grundtoleranzen!W39)+Grundtoleranzen!$AD39,IF(AND($F$11="ZA",$F$7=8),(Grundtoleranzen!W39),IF(AND($F$11="ZA",$F$7=9),(Grundtoleranzen!W39),IF(AND($F$11="ZA",$F$7=10),(Grundtoleranzen!W39),IF(AND($F$11="ZA",$F$7=11),(Grundtoleranzen!W39),IF(AND($F$11="ZA",$F$7=12),(Grundtoleranzen!W39),IF(AND($F$11="ZA",$F$7=13),(Grundtoleranzen!W39),IF(AND($F$11="ZA",$F$7=14),(Grundtoleranzen!W39),IF(AND($F$11="ZA",$F$7=15),(Grundtoleranzen!W39),IF(AND($F$11="ZA",$F$7=16),(Grundtoleranzen!W39),IF(AND($F$11="ZA",$F$7=17),(Grundtoleranzen!W39),IF(AND($F$11="ZA",$F$7=18),(Grundtoleranzen!W39),"Error"))))))))))))))))))</f>
        <v>#REF!</v>
      </c>
      <c r="AB7" s="70" t="e">
        <f>IF(AND($F$11="ZB",$F$7=1),(Grundtoleranzen!X39),IF(AND($F$11="ZB",$F$7=2),(Grundtoleranzen!X39),IF(AND($F$11="ZB",$F$7=3),(Grundtoleranzen!X39)+Grundtoleranzen!$Z39,IF(AND($F$11="ZB",$F$7=4),(Grundtoleranzen!X39)+Grundtoleranzen!$AA39,IF(AND($F$11="ZB",$F$7=5),(Grundtoleranzen!X39)+Grundtoleranzen!$AB39,IF(AND($F$11="ZB",$F$7=6),(Grundtoleranzen!X39)+Grundtoleranzen!$AC39,IF(AND($F$11="ZB",$F$7=7),(Grundtoleranzen!X39)+Grundtoleranzen!$AD39,IF(AND($F$11="ZB",$F$7=8),(Grundtoleranzen!X39),IF(AND($F$11="ZB",$F$7=9),(Grundtoleranzen!X39),IF(AND($F$11="ZB",$F$7=10),(Grundtoleranzen!X39),IF(AND($F$11="ZB",$F$7=11),(Grundtoleranzen!X39),IF(AND($F$11="ZB",$F$7=12),(Grundtoleranzen!X39),IF(AND($F$11="ZB",$F$7=13),(Grundtoleranzen!X39),IF(AND($F$11="ZB",$F$7=14),(Grundtoleranzen!X39),IF(AND($F$11="ZB",$F$7=15),(Grundtoleranzen!X39),IF(AND($F$11="ZB",$F$7=16),(Grundtoleranzen!X39),IF(AND($F$11="ZB",$F$7=17),(Grundtoleranzen!X39),IF(AND($F$11="ZB",$F$7=18),(Grundtoleranzen!X39),"Error"))))))))))))))))))</f>
        <v>#REF!</v>
      </c>
      <c r="AC7" s="70" t="e">
        <f>IF(AND($F$11="ZC",$F$7=1),(Grundtoleranzen!Y39),IF(AND($F$11="ZC",$F$7=2),(Grundtoleranzen!Y39),IF(AND($F$11="ZC",$F$7=3),(Grundtoleranzen!Y39)+Grundtoleranzen!$Z39,IF(AND($F$11="ZC",$F$7=4),(Grundtoleranzen!Y39)+Grundtoleranzen!$AA39,IF(AND($F$11="ZC",$F$7=5),(Grundtoleranzen!Y39)+Grundtoleranzen!$AB39,IF(AND($F$11="ZC",$F$7=6),(Grundtoleranzen!Y39)+Grundtoleranzen!$AC39,IF(AND($F$11="ZC",$F$7=7),(Grundtoleranzen!Y39)+Grundtoleranzen!$AD39,IF(AND($F$11="ZC",$F$7=8),(Grundtoleranzen!Y39),IF(AND($F$11="ZC",$F$7=9),(Grundtoleranzen!Y39),IF(AND($F$11="ZC",$F$7=10),(Grundtoleranzen!Y39),IF(AND($F$11="ZC",$F$7=11),(Grundtoleranzen!Y39),IF(AND($F$11="ZC",$F$7=12),(Grundtoleranzen!Y39),IF(AND($F$11="ZC",$F$7=13),(Grundtoleranzen!Y39),IF(AND($F$11="ZC",$F$7=14),(Grundtoleranzen!Y39),IF(AND($F$11="ZC",$F$7=15),(Grundtoleranzen!Y39),IF(AND($F$11="ZC",$F$7=16),(Grundtoleranzen!Y39),IF(AND($F$11="ZC",$F$7=17),(Grundtoleranzen!Y39),IF(AND($F$11="ZC",$F$7=18),(Grundtoleranzen!Y39),"Error"))))))))))))))))))</f>
        <v>#REF!</v>
      </c>
    </row>
    <row r="8" spans="1:29" ht="15.75" thickBot="1" x14ac:dyDescent="0.3">
      <c r="A8" s="66">
        <v>6</v>
      </c>
      <c r="B8" s="66" t="s">
        <v>91</v>
      </c>
      <c r="C8" s="66" t="s">
        <v>93</v>
      </c>
      <c r="E8" s="36" t="s">
        <v>122</v>
      </c>
      <c r="F8" s="37" t="e">
        <f>'Allg.toleranzen DIN ISO 2768'!#REF!</f>
        <v>#REF!</v>
      </c>
      <c r="H8" s="24" t="s">
        <v>72</v>
      </c>
      <c r="I8" s="38" t="e">
        <f>IF(AND(F$7=1),Grundtoleranzen!B9,IF(AND(F$7=2),Grundtoleranzen!C9,IF(AND(F$7=3),Grundtoleranzen!D9,IF(AND(F$7=4),Grundtoleranzen!E9,IF(AND(F$7=5),Grundtoleranzen!F9,IF(AND(F$7=6),Grundtoleranzen!G9,IF(AND(F$7=7),Grundtoleranzen!H9,IF(AND(F$7=8),Grundtoleranzen!I9,IF(AND(F$7=9),Grundtoleranzen!J9,IF(AND(F$7=10),Grundtoleranzen!K9,IF(AND(F$7=11),Grundtoleranzen!L9,IF(AND(F$7=12),Grundtoleranzen!M9,IF(AND(F$7=13),Grundtoleranzen!N9,IF(AND(F$7=14),Grundtoleranzen!O9,IF(AND(F$7=15),Grundtoleranzen!P9,IF(AND(F$7=16),Grundtoleranzen!Q9,IF(AND(F$7=17),Grundtoleranzen!R9,IF(AND(F$7=18),Grundtoleranzen!S9))))))))))))))))))</f>
        <v>#REF!</v>
      </c>
      <c r="K8" s="24" t="s">
        <v>130</v>
      </c>
      <c r="L8" s="68" t="e">
        <f>IF(AND(F$11="C"),Grundtoleranzen!B40,IF(AND(F$11="D"),Grundtoleranzen!C40,IF(AND(F$11="E"),Grundtoleranzen!D40,IF(AND(F$11="F"),Grundtoleranzen!E40,IF(AND(F$11="G"),Grundtoleranzen!F40,IF(AND(F$11="H"),Grundtoleranzen!G40))))))</f>
        <v>#REF!</v>
      </c>
      <c r="M8" s="24" t="s">
        <v>72</v>
      </c>
      <c r="N8" s="70" t="e">
        <f>IF(AND(F$11="JS",F$7=1),(Grundtoleranzen!B9)/2,IF(AND(F$11="JS",F$7=2),(Grundtoleranzen!C9)/2,IF(AND(F$11="JS",F$7=3),(Grundtoleranzen!D9)/2,IF(AND(F$11="JS",F$7=4),(Grundtoleranzen!E9)/2,IF(AND(F$11="JS",F$7=5),(Grundtoleranzen!F9)/2,IF(AND(F$11="JS",F$7=6),(Grundtoleranzen!G9)/2,IF(AND(F$11="JS",F$7=7),(Grundtoleranzen!H9)/2,IF(AND(F$11="JS",F$7=8),(Grundtoleranzen!I9)/2,IF(AND(F$11="JS",F$7=9),(Grundtoleranzen!J9)/2,IF(AND(F$11="JS",F$7=10),(Grundtoleranzen!K9)/2,IF(AND(F$11="JS",F$7=11),(Grundtoleranzen!L9)/2,IF(AND(F$11="JS",F$7=12),(Grundtoleranzen!M9)/2,IF(AND(F$11="JS",F$7=13),(Grundtoleranzen!N9)/2,IF(AND(F$11="JS",F$7=14),(Grundtoleranzen!O9)/2,IF(AND(F$11="JS",F$7=15),(Grundtoleranzen!P9)/2,IF(AND(F$11="JS",F$7=16),(Grundtoleranzen!Q9)/2,IF(AND(F$11="JS",F$7=17),(Grundtoleranzen!R9)/2,IF(AND(F$11="JS",F$7=18),(Grundtoleranzen!S9)/2))))))))))))))))))*-1</f>
        <v>#REF!</v>
      </c>
      <c r="P8" s="70" t="e">
        <f>IF(AND(F$11="J",F$7=6),(Grundtoleranzen!I40),IF(AND(F$11="J",F$7=7),(Grundtoleranzen!J40),IF(AND(F$11="J",F$7=8),(Grundtoleranzen!K40),"Nur IT6-8")))</f>
        <v>#REF!</v>
      </c>
      <c r="Q8" s="83" t="e">
        <f>IF(AND($F$11="K",$F$7=1),(Grundtoleranzen!L40),IF(AND($F$11="K",$F$7=2),(Grundtoleranzen!L40),IF(AND($F$11="K",$F$7=3),(Grundtoleranzen!L40)+Grundtoleranzen!Z40,IF(AND($F$11="K",$F$7=4),(Grundtoleranzen!L40)+Grundtoleranzen!AA40,IF(AND($F$11="K",$F$7=5),(Grundtoleranzen!L40)+Grundtoleranzen!AB40,IF(AND($F$11="K",$F$7=6),(Grundtoleranzen!L40)+Grundtoleranzen!AC40,IF(AND($F$11="K",$F$7=7),(Grundtoleranzen!L40)+Grundtoleranzen!AD40,IF(AND($F$11="K",$F$7=8),(Grundtoleranzen!L40)+Grundtoleranzen!AE40,"Nur IT 1 - 8"))))))))</f>
        <v>#REF!</v>
      </c>
      <c r="R8" s="70" t="e">
        <f>IF(AND($F$11="M",$F$7=1),(Grundtoleranzen!M40),IF(AND($F$11="M",$F$7=2),(Grundtoleranzen!M40),IF(AND($F$11="M",$F$7=3),(Grundtoleranzen!M40)+Grundtoleranzen!$Z40,IF(AND($F$11="M",$F$7=4),(Grundtoleranzen!M40)+Grundtoleranzen!$AA40,IF(AND($F$11="M",$F$7=5),(Grundtoleranzen!M40)+Grundtoleranzen!$AB40,IF(AND($F$11="M",$F$7=6),(Grundtoleranzen!M40)+Grundtoleranzen!$AC40,IF(AND($F$11="M",$F$7=7),(Grundtoleranzen!M40)+Grundtoleranzen!$AD40,IF(AND($F$11="M",$F$7=8),(Grundtoleranzen!M40)+Grundtoleranzen!$AE40,IF(AND($F$11="M",$F$7=9),(Grundtoleranzen!M40),IF(AND($F$11="M",$F$7=10),(Grundtoleranzen!M40),IF(AND($F$11="M",$F$7=11),(Grundtoleranzen!M40),IF(AND($F$11="M",$F$7=12),(Grundtoleranzen!M40),IF(AND($F$11="M",$F$7=13),(Grundtoleranzen!M40),IF(AND($F$11="M",$F$7=14),(Grundtoleranzen!M40),IF(AND($F$11="M",$F$7=15),(Grundtoleranzen!M40),IF(AND($F$11="M",$F$7=16),(Grundtoleranzen!M40),IF(AND($F$11="M",$F$7=17),(Grundtoleranzen!M40),IF(AND($F$11="M",$F$7=18),(Grundtoleranzen!M40),"Error"))))))))))))))))))</f>
        <v>#REF!</v>
      </c>
      <c r="S8" s="70" t="e">
        <f>IF(AND($F$11="N",$F$7=1),(Grundtoleranzen!N40),IF(AND($F$11="N",$F$7=2),(Grundtoleranzen!N40),IF(AND($F$11="N",$F$7=3),(Grundtoleranzen!N40)+Grundtoleranzen!$Z40,IF(AND($F$11="N",$F$7=4),(Grundtoleranzen!N40)+Grundtoleranzen!$AA40,IF(AND($F$11="N",$F$7=5),(Grundtoleranzen!N40)+Grundtoleranzen!$AB40,IF(AND($F$11="N",$F$7=6),(Grundtoleranzen!N40)+Grundtoleranzen!$AC40,IF(AND($F$11="N",$F$7=7),(Grundtoleranzen!N40)+Grundtoleranzen!$AD40,IF(AND($F$11="N",$F$7=8),(Grundtoleranzen!N40)+Grundtoleranzen!$AE40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#REF!</v>
      </c>
      <c r="T8" s="70" t="e">
        <f>IF(AND($F$11="P",$F$7=1),(Grundtoleranzen!P40),IF(AND($F$11="P",$F$7=2),(Grundtoleranzen!P40),IF(AND($F$11="P",$F$7=3),(Grundtoleranzen!P40)+Grundtoleranzen!$Z40,IF(AND($F$11="P",$F$7=4),(Grundtoleranzen!P40)+Grundtoleranzen!$AA40,IF(AND($F$11="P",$F$7=5),(Grundtoleranzen!P40)+Grundtoleranzen!$AB40,IF(AND($F$11="P",$F$7=6),(Grundtoleranzen!P40)+Grundtoleranzen!$AC40,IF(AND($F$11="P",$F$7=7),(Grundtoleranzen!P40)+Grundtoleranzen!$AD40,IF(AND($F$11="P",$F$7=8),(Grundtoleranzen!P40),IF(AND($F$11="P",$F$7=9),(Grundtoleranzen!P40),IF(AND($F$11="P",$F$7=10),(Grundtoleranzen!P40),IF(AND($F$11="P",$F$7=11),(Grundtoleranzen!P40),IF(AND($F$11="P",$F$7=12),(Grundtoleranzen!P40),IF(AND($F$11="P",$F$7=13),(Grundtoleranzen!P40),IF(AND($F$11="P",$F$7=14),(Grundtoleranzen!P40),IF(AND($F$11="P",$F$7=15),(Grundtoleranzen!P40),IF(AND($F$11="P",$F$7=16),(Grundtoleranzen!P40),IF(AND($F$11="P",$F$7=17),(Grundtoleranzen!P40),IF(AND($F$11="P",$F$7=18),(Grundtoleranzen!P40),"Error"))))))))))))))))))</f>
        <v>#REF!</v>
      </c>
      <c r="U8" s="70" t="e">
        <f>IF(AND($F$11="R",$F$7=1),(Grundtoleranzen!Q40),IF(AND($F$11="R",$F$7=2),(Grundtoleranzen!Q40),IF(AND($F$11="R",$F$7=3),(Grundtoleranzen!Q40)+Grundtoleranzen!$Z40,IF(AND($F$11="R",$F$7=4),(Grundtoleranzen!Q40)+Grundtoleranzen!$AA40,IF(AND($F$11="R",$F$7=5),(Grundtoleranzen!Q40)+Grundtoleranzen!$AB40,IF(AND($F$11="R",$F$7=6),(Grundtoleranzen!Q40)+Grundtoleranzen!$AC40,IF(AND($F$11="R",$F$7=7),(Grundtoleranzen!Q40)+Grundtoleranzen!$AD40,IF(AND($F$11="R",$F$7=8),(Grundtoleranzen!Q40)+Grundtoleranzen!$AE40,IF(AND($F$11="R",$F$7=9),(Grundtoleranzen!Q40),IF(AND($F$11="R",$F$7=10),(Grundtoleranzen!Q40),IF(AND($F$11="R",$F$7=11),(Grundtoleranzen!Q40),IF(AND($F$11="R",$F$7=12),(Grundtoleranzen!Q40),IF(AND($F$11="R",$F$7=13),(Grundtoleranzen!Q40),IF(AND($F$11="R",$F$7=14),(Grundtoleranzen!Q40),IF(AND($F$11="R",$F$7=15),(Grundtoleranzen!Q40),IF(AND($F$11="R",$F$7=16),(Grundtoleranzen!Q40),IF(AND($F$11="R",$F$7=17),(Grundtoleranzen!Q40),IF(AND($F$11="R",$F$7=18),(Grundtoleranzen!Q40),"Error"))))))))))))))))))</f>
        <v>#REF!</v>
      </c>
      <c r="V8" s="70" t="e">
        <f>IF(AND($F$11="S",$F$7=1),Grundtoleranzen!R40,IF(AND($F$11="S",$F$7=2),(Grundtoleranzen!R40),IF(AND($F$11="S",$F$7=3),(Grundtoleranzen!R40)+Grundtoleranzen!$Z40,IF(AND($F$11="S",$F$7=4),(Grundtoleranzen!R40)+Grundtoleranzen!$AA40,IF(AND($F$11="S",$F$7=5),(Grundtoleranzen!R40)+Grundtoleranzen!$AB40,IF(AND($F$11="S",$F$7=6),(Grundtoleranzen!R40)+Grundtoleranzen!$AC40,IF(AND($F$11="S",$F$7=7),(Grundtoleranzen!R40)+Grundtoleranzen!$AD40,IF(AND($F$11="S",$F$7=8),(Grundtoleranzen!R40),IF(AND($F$11="S",$F$7=9),(Grundtoleranzen!R40),IF(AND($F$11="S",$F$7=10),(Grundtoleranzen!R40),IF(AND($F$11="S",$F$7=11),(Grundtoleranzen!R40),IF(AND($F$11="S",$F$7=12),(Grundtoleranzen!R40),IF(AND($F$11="S",$F$7=13),(Grundtoleranzen!R40),IF(AND($F$11="S",$F$7=14),(Grundtoleranzen!R40),IF(AND($F$11="S",$F$7=15),(Grundtoleranzen!R40),IF(AND($F$11="S",$F$7=16),(Grundtoleranzen!R40),IF(AND($F$11="S",$F$7=17),(Grundtoleranzen!R40),IF(AND($F$11="S",$F$7=18),(Grundtoleranzen!R40),"Error"))))))))))))))))))</f>
        <v>#REF!</v>
      </c>
      <c r="W8" s="70" t="e">
        <f>IF(AND($F$11="T",$F$7=1),(Grundtoleranzen!S40),IF(AND($F$11="T",$F$7=2),(Grundtoleranzen!S40),IF(AND($F$11="T",$F$7=3),(Grundtoleranzen!S40)+Grundtoleranzen!$Z40,IF(AND($F$11="T",$F$7=4),(Grundtoleranzen!S40)+Grundtoleranzen!$AA40,IF(AND($F$11="T",$F$7=5),(Grundtoleranzen!S40)+Grundtoleranzen!$AB40,IF(AND($F$11="T",$F$7=6),(Grundtoleranzen!S40)+Grundtoleranzen!$AC40,IF(AND($F$11="T",$F$7=7),(Grundtoleranzen!S40)+Grundtoleranzen!$AD40,IF(AND($F$11="T",$F$7=8),(Grundtoleranzen!S40),IF(AND($F$11="T",$F$7=9),(Grundtoleranzen!S40),IF(AND($F$11="T",$F$7=10),(Grundtoleranzen!S40),IF(AND($F$11="T",$F$7=11),(Grundtoleranzen!S40),IF(AND($F$11="T",$F$7=12),(Grundtoleranzen!S40),IF(AND($F$11="T",$F$7=13),(Grundtoleranzen!S40),IF(AND($F$11="T",$F$7=14),(Grundtoleranzen!S40),IF(AND($F$11="T",$F$7=15),(Grundtoleranzen!S40),IF(AND($F$11="T",$F$7=16),(Grundtoleranzen!S40),IF(AND($F$11="T",$F$7=17),(Grundtoleranzen!S40),IF(AND($F$11="T",$F$7=18),(Grundtoleranzen!S40),"Error"))))))))))))))))))</f>
        <v>#REF!</v>
      </c>
      <c r="X8" s="70" t="e">
        <f>IF(AND($F$11="U",$F$7=1),(Grundtoleranzen!T40),IF(AND($F$11="U",$F$7=2),(Grundtoleranzen!T40),IF(AND($F$11="U",$F$7=3),(Grundtoleranzen!T40)+Grundtoleranzen!$Z40,IF(AND($F$11="U",$F$7=4),(Grundtoleranzen!T40)+Grundtoleranzen!$AA40,IF(AND($F$11="U",$F$7=5),(Grundtoleranzen!T40)+Grundtoleranzen!$AB40,IF(AND($F$11="U",$F$7=6),(Grundtoleranzen!T40)+Grundtoleranzen!$AC40,IF(AND($F$11="U",$F$7=7),(Grundtoleranzen!T40)+Grundtoleranzen!$AD40,IF(AND($F$11="U",$F$7=8),(Grundtoleranzen!T40),IF(AND($F$11="U",$F$7=9),(Grundtoleranzen!T40),IF(AND($F$11="U",$F$7=10),(Grundtoleranzen!T40),IF(AND($F$11="U",$F$7=11),(Grundtoleranzen!T40),IF(AND($F$11="U",$F$7=12),(Grundtoleranzen!T40),IF(AND($F$11="U",$F$7=13),(Grundtoleranzen!T40),IF(AND($F$11="U",$F$7=14),(Grundtoleranzen!T40),IF(AND($F$11="U",$F$7=15),(Grundtoleranzen!T40),IF(AND($F$11="U",$F$7=16),(Grundtoleranzen!T40),IF(AND($F$11="U",$F$7=17),(Grundtoleranzen!T40),IF(AND($F$11="U",$F$7=18),(Grundtoleranzen!T40),"Error"))))))))))))))))))</f>
        <v>#REF!</v>
      </c>
      <c r="Y8" s="70" t="e">
        <f>IF(AND($F$11="X",$F$7=1),(Grundtoleranzen!U40),IF(AND($F$11="X",$F$7=2),(Grundtoleranzen!U40),IF(AND($F$11="X",$F$7=3),(Grundtoleranzen!U40)+Grundtoleranzen!$Z40,IF(AND($F$11="X",$F$7=4),(Grundtoleranzen!U40)+Grundtoleranzen!$AA40,IF(AND($F$11="X",$F$7=5),(Grundtoleranzen!U40)+Grundtoleranzen!$AB40,IF(AND($F$11="X",$F$7=6),(Grundtoleranzen!U40)+Grundtoleranzen!$AC40,IF(AND($F$11="X",$F$7=7),(Grundtoleranzen!U40)+Grundtoleranzen!$AD40,IF(AND($F$11="X",$F$7=8),(Grundtoleranzen!U40)+Grundtoleranzen!$AE40,IF(AND($F$11="X",$F$7=9),(Grundtoleranzen!U40),IF(AND($F$11="X",$F$7=10),(Grundtoleranzen!U40),IF(AND($F$11="X",$F$7=11),(Grundtoleranzen!U40),IF(AND($F$11="X",$F$7=12),(Grundtoleranzen!U40),IF(AND($F$11="X",$F$7=13),(Grundtoleranzen!U40),IF(AND($F$11="X",$F$7=14),(Grundtoleranzen!U40),IF(AND($F$11="X",$F$7=15),(Grundtoleranzen!U40),IF(AND($F$11="X",$F$7=16),(Grundtoleranzen!U40),IF(AND($F$11="X",$F$7=17),(Grundtoleranzen!U40),IF(AND($F$11="X",$F$7=18),(Grundtoleranzen!U40),"Error"))))))))))))))))))</f>
        <v>#REF!</v>
      </c>
      <c r="Z8" s="70" t="e">
        <f>IF(AND($F$11="Z",$F$7=1),(Grundtoleranzen!V40),IF(AND($F$11="Z",$F$7=2),(Grundtoleranzen!V40),IF(AND($F$11="Z",$F$7=3),(Grundtoleranzen!V40)+Grundtoleranzen!$Z40,IF(AND($F$11="Z",$F$7=4),(Grundtoleranzen!V40)+Grundtoleranzen!$AA40,IF(AND($F$11="Z",$F$7=5),(Grundtoleranzen!V40)+Grundtoleranzen!$AB40,IF(AND($F$11="Z",$F$7=6),(Grundtoleranzen!V40)+Grundtoleranzen!$AC40,IF(AND($F$11="Z",$F$7=7),(Grundtoleranzen!V40)+Grundtoleranzen!$AD40,IF(AND($F$11="Z",$F$7=8),(Grundtoleranzen!V40),IF(AND($F$11="Z",$F$7=9),(Grundtoleranzen!V40),IF(AND($F$11="Z",$F$7=10),(Grundtoleranzen!V40),IF(AND($F$11="Z",$F$7=11),(Grundtoleranzen!V40),IF(AND($F$11="Z",$F$7=12),(Grundtoleranzen!V40),IF(AND($F$11="Z",$F$7=13),(Grundtoleranzen!V40),IF(AND($F$11="Z",$F$7=14),(Grundtoleranzen!V40),IF(AND($F$11="Z",$F$7=15),(Grundtoleranzen!V40),IF(AND($F$11="Z",$F$7=16),(Grundtoleranzen!V40),IF(AND($F$11="Z",$F$7=17),(Grundtoleranzen!V40),IF(AND($F$11="Z",$F$7=18),(Grundtoleranzen!V40),"Error"))))))))))))))))))</f>
        <v>#REF!</v>
      </c>
      <c r="AA8" s="70" t="e">
        <f>IF(AND($F$11="ZA",$F$7=1),(Grundtoleranzen!W40),IF(AND($F$11="ZA",$F$7=2),(Grundtoleranzen!W40),IF(AND($F$11="ZA",$F$7=3),(Grundtoleranzen!W40)+Grundtoleranzen!$Z40,IF(AND($F$11="ZA",$F$7=4),(Grundtoleranzen!W40)+Grundtoleranzen!$AA40,IF(AND($F$11="ZA",$F$7=5),(Grundtoleranzen!W40)+Grundtoleranzen!$AB40,IF(AND($F$11="ZA",$F$7=6),(Grundtoleranzen!W40)+Grundtoleranzen!$AC40,IF(AND($F$11="ZA",$F$7=7),(Grundtoleranzen!W40)+Grundtoleranzen!$AD40,IF(AND($F$11="ZA",$F$7=8),(Grundtoleranzen!W40),IF(AND($F$11="ZA",$F$7=9),(Grundtoleranzen!W40),IF(AND($F$11="ZA",$F$7=10),(Grundtoleranzen!W40),IF(AND($F$11="ZA",$F$7=11),(Grundtoleranzen!W40),IF(AND($F$11="ZA",$F$7=12),(Grundtoleranzen!W40),IF(AND($F$11="ZA",$F$7=13),(Grundtoleranzen!W40),IF(AND($F$11="ZA",$F$7=14),(Grundtoleranzen!W40),IF(AND($F$11="ZA",$F$7=15),(Grundtoleranzen!W40),IF(AND($F$11="ZA",$F$7=16),(Grundtoleranzen!W40),IF(AND($F$11="ZA",$F$7=17),(Grundtoleranzen!W40),IF(AND($F$11="ZA",$F$7=18),(Grundtoleranzen!W40),"Error"))))))))))))))))))</f>
        <v>#REF!</v>
      </c>
      <c r="AB8" s="70" t="e">
        <f>IF(AND($F$11="ZB",$F$7=1),(Grundtoleranzen!X40),IF(AND($F$11="ZB",$F$7=2),(Grundtoleranzen!X40),IF(AND($F$11="ZB",$F$7=3),(Grundtoleranzen!X40)+Grundtoleranzen!$Z40,IF(AND($F$11="ZB",$F$7=4),(Grundtoleranzen!X40)+Grundtoleranzen!$AA40,IF(AND($F$11="ZB",$F$7=5),(Grundtoleranzen!X40)+Grundtoleranzen!$AB40,IF(AND($F$11="ZB",$F$7=6),(Grundtoleranzen!X40)+Grundtoleranzen!$AC40,IF(AND($F$11="ZB",$F$7=7),(Grundtoleranzen!X40)+Grundtoleranzen!$AD40,IF(AND($F$11="ZB",$F$7=8),(Grundtoleranzen!X40),IF(AND($F$11="ZB",$F$7=9),(Grundtoleranzen!X40),IF(AND($F$11="ZB",$F$7=10),(Grundtoleranzen!X40),IF(AND($F$11="ZB",$F$7=11),(Grundtoleranzen!X40),IF(AND($F$11="ZB",$F$7=12),(Grundtoleranzen!X40),IF(AND($F$11="ZB",$F$7=13),(Grundtoleranzen!X40),IF(AND($F$11="ZB",$F$7=14),(Grundtoleranzen!X40),IF(AND($F$11="ZB",$F$7=15),(Grundtoleranzen!X40),IF(AND($F$11="ZB",$F$7=16),(Grundtoleranzen!X40),IF(AND($F$11="ZB",$F$7=17),(Grundtoleranzen!X40),IF(AND($F$11="ZB",$F$7=18),(Grundtoleranzen!X40),"Error"))))))))))))))))))</f>
        <v>#REF!</v>
      </c>
      <c r="AC8" s="70" t="e">
        <f>IF(AND($F$11="ZC",$F$7=1),(Grundtoleranzen!Y40),IF(AND($F$11="ZC",$F$7=2),(Grundtoleranzen!Y40),IF(AND($F$11="ZC",$F$7=3),(Grundtoleranzen!Y40)+Grundtoleranzen!$Z40,IF(AND($F$11="ZC",$F$7=4),(Grundtoleranzen!Y40)+Grundtoleranzen!$AA40,IF(AND($F$11="ZC",$F$7=5),(Grundtoleranzen!Y40)+Grundtoleranzen!$AB40,IF(AND($F$11="ZC",$F$7=6),(Grundtoleranzen!Y40)+Grundtoleranzen!$AC40,IF(AND($F$11="ZC",$F$7=7),(Grundtoleranzen!Y40)+Grundtoleranzen!$AD40,IF(AND($F$11="ZC",$F$7=8),(Grundtoleranzen!Y40),IF(AND($F$11="ZC",$F$7=9),(Grundtoleranzen!Y40),IF(AND($F$11="ZC",$F$7=10),(Grundtoleranzen!Y40),IF(AND($F$11="ZC",$F$7=11),(Grundtoleranzen!Y40),IF(AND($F$11="ZC",$F$7=12),(Grundtoleranzen!Y40),IF(AND($F$11="ZC",$F$7=13),(Grundtoleranzen!Y40),IF(AND($F$11="ZC",$F$7=14),(Grundtoleranzen!Y40),IF(AND($F$11="ZC",$F$7=15),(Grundtoleranzen!Y40),IF(AND($F$11="ZC",$F$7=16),(Grundtoleranzen!Y40),IF(AND($F$11="ZC",$F$7=17),(Grundtoleranzen!Y40),IF(AND($F$11="ZC",$F$7=18),(Grundtoleranzen!Y40),"Error"))))))))))))))))))</f>
        <v>#REF!</v>
      </c>
    </row>
    <row r="9" spans="1:29" ht="15.75" thickBot="1" x14ac:dyDescent="0.3">
      <c r="A9" s="66">
        <v>7</v>
      </c>
      <c r="B9" s="66" t="s">
        <v>92</v>
      </c>
      <c r="C9" s="66" t="s">
        <v>94</v>
      </c>
      <c r="H9" s="24" t="s">
        <v>73</v>
      </c>
      <c r="I9" s="38" t="e">
        <f>IF(AND(F$7=1),Grundtoleranzen!B10,IF(AND(F$7=2),Grundtoleranzen!C10,IF(AND(F$7=3),Grundtoleranzen!D10,IF(AND(F$7=4),Grundtoleranzen!E10,IF(AND(F$7=5),Grundtoleranzen!F10,IF(AND(F$7=6),Grundtoleranzen!G10,IF(AND(F$7=7),Grundtoleranzen!H10,IF(AND(F$7=8),Grundtoleranzen!I10,IF(AND(F$7=9),Grundtoleranzen!J10,IF(AND(F$7=10),Grundtoleranzen!K10,IF(AND(F$7=11),Grundtoleranzen!L10,IF(AND(F$7=12),Grundtoleranzen!M10,IF(AND(F$7=13),Grundtoleranzen!N10,IF(AND(F$7=14),Grundtoleranzen!O10,IF(AND(F$7=15),Grundtoleranzen!P10,IF(AND(F$7=16),Grundtoleranzen!Q10,IF(AND(F$7=17),Grundtoleranzen!R10,IF(AND(F$7=18),Grundtoleranzen!S10))))))))))))))))))</f>
        <v>#REF!</v>
      </c>
      <c r="K9" s="24" t="s">
        <v>131</v>
      </c>
      <c r="L9" s="68" t="e">
        <f>IF(AND(F$11="C"),Grundtoleranzen!B41,IF(AND(F$11="D"),Grundtoleranzen!C41,IF(AND(F$11="E"),Grundtoleranzen!D41,IF(AND(F$11="F"),Grundtoleranzen!E41,IF(AND(F$11="G"),Grundtoleranzen!F41,IF(AND(F$11="H"),Grundtoleranzen!G41))))))</f>
        <v>#REF!</v>
      </c>
      <c r="M9" s="24" t="s">
        <v>73</v>
      </c>
      <c r="N9" s="70" t="e">
        <f>IF(AND(F$11="JS",F$7=1),(Grundtoleranzen!B10)/2,IF(AND(F$11="JS",F$7=2),(Grundtoleranzen!C10)/2,IF(AND(F$11="JS",F$7=3),(Grundtoleranzen!D10)/2,IF(AND(F$11="JS",F$7=4),(Grundtoleranzen!E10)/2,IF(AND(F$11="JS",F$7=5),(Grundtoleranzen!F10)/2,IF(AND(F$11="JS",F$7=6),(Grundtoleranzen!G10)/2,IF(AND(F$11="JS",F$7=7),(Grundtoleranzen!H10)/2,IF(AND(F$11="JS",F$7=8),(Grundtoleranzen!I10)/2,IF(AND(F$11="JS",F$7=9),(Grundtoleranzen!J10)/2,IF(AND(F$11="JS",F$7=10),(Grundtoleranzen!K10)/2,IF(AND(F$11="JS",F$7=11),(Grundtoleranzen!L10)/2,IF(AND(F$11="JS",F$7=12),(Grundtoleranzen!M10)/2,IF(AND(F$11="JS",F$7=13),(Grundtoleranzen!N10)/2,IF(AND(F$11="JS",F$7=14),(Grundtoleranzen!O10)/2,IF(AND(F$11="JS",F$7=15),(Grundtoleranzen!P10)/2,IF(AND(F$11="JS",F$7=16),(Grundtoleranzen!Q10)/2,IF(AND(F$11="JS",F$7=17),(Grundtoleranzen!R10)/2,IF(AND(F$11="JS",F$7=18),(Grundtoleranzen!S10)/2))))))))))))))))))*-1</f>
        <v>#REF!</v>
      </c>
      <c r="P9" s="70" t="e">
        <f>IF(AND(F$11="J",F$7=6),(Grundtoleranzen!I41),IF(AND(F$11="J",F$7=7),(Grundtoleranzen!J41),IF(AND(F$11="J",F$7=8),(Grundtoleranzen!K41),"Nur IT6-8")))</f>
        <v>#REF!</v>
      </c>
      <c r="Q9" s="83" t="e">
        <f>IF(AND($F$11="K",$F$7=1),(Grundtoleranzen!L41),IF(AND($F$11="K",$F$7=2),(Grundtoleranzen!L41),IF(AND($F$11="K",$F$7=3),(Grundtoleranzen!L41)+Grundtoleranzen!Z41,IF(AND($F$11="K",$F$7=4),(Grundtoleranzen!L41)+Grundtoleranzen!AA41,IF(AND($F$11="K",$F$7=5),(Grundtoleranzen!L41)+Grundtoleranzen!AB41,IF(AND($F$11="K",$F$7=6),(Grundtoleranzen!L41)+Grundtoleranzen!AC41,IF(AND($F$11="K",$F$7=7),(Grundtoleranzen!L41)+Grundtoleranzen!AD41,IF(AND($F$11="K",$F$7=8),(Grundtoleranzen!L41)+Grundtoleranzen!AE41,"Nur IT 1 - 8"))))))))</f>
        <v>#REF!</v>
      </c>
      <c r="R9" s="70" t="e">
        <f>IF(AND($F$11="M",$F$7=1),(Grundtoleranzen!M41),IF(AND($F$11="M",$F$7=2),(Grundtoleranzen!M41),IF(AND($F$11="M",$F$7=3),(Grundtoleranzen!M41)+Grundtoleranzen!$Z41,IF(AND($F$11="M",$F$7=4),(Grundtoleranzen!M41)+Grundtoleranzen!$AA41,IF(AND($F$11="M",$F$7=5),(Grundtoleranzen!M41)+Grundtoleranzen!$AB41,IF(AND($F$11="M",$F$7=6),(Grundtoleranzen!M41)+Grundtoleranzen!$AC41,IF(AND($F$11="M",$F$7=7),(Grundtoleranzen!M41)+Grundtoleranzen!$AD41,IF(AND($F$11="M",$F$7=8),(Grundtoleranzen!M41)+Grundtoleranzen!$AE41,IF(AND($F$11="M",$F$7=9),(Grundtoleranzen!M41),IF(AND($F$11="M",$F$7=10),(Grundtoleranzen!M41),IF(AND($F$11="M",$F$7=11),(Grundtoleranzen!M41),IF(AND($F$11="M",$F$7=12),(Grundtoleranzen!M41),IF(AND($F$11="M",$F$7=13),(Grundtoleranzen!M41),IF(AND($F$11="M",$F$7=14),(Grundtoleranzen!M41),IF(AND($F$11="M",$F$7=15),(Grundtoleranzen!M41),IF(AND($F$11="M",$F$7=16),(Grundtoleranzen!M41),IF(AND($F$11="M",$F$7=17),(Grundtoleranzen!M41),IF(AND($F$11="M",$F$7=18),(Grundtoleranzen!M41),"Error"))))))))))))))))))</f>
        <v>#REF!</v>
      </c>
      <c r="S9" s="70" t="e">
        <f>IF(AND($F$11="N",$F$7=1),(Grundtoleranzen!N41),IF(AND($F$11="N",$F$7=2),(Grundtoleranzen!N41),IF(AND($F$11="N",$F$7=3),(Grundtoleranzen!N41)+Grundtoleranzen!$Z41,IF(AND($F$11="N",$F$7=4),(Grundtoleranzen!N41)+Grundtoleranzen!$AA41,IF(AND($F$11="N",$F$7=5),(Grundtoleranzen!N41)+Grundtoleranzen!$AB41,IF(AND($F$11="N",$F$7=6),(Grundtoleranzen!N41)+Grundtoleranzen!$AC41,IF(AND($F$11="N",$F$7=7),(Grundtoleranzen!N41)+Grundtoleranzen!$AD41,IF(AND($F$11="N",$F$7=8),(Grundtoleranzen!N41)+Grundtoleranzen!$AE41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#REF!</v>
      </c>
      <c r="T9" s="70" t="e">
        <f>IF(AND($F$11="P",$F$7=1),(Grundtoleranzen!P41),IF(AND($F$11="P",$F$7=2),(Grundtoleranzen!P41),IF(AND($F$11="P",$F$7=3),(Grundtoleranzen!P41)+Grundtoleranzen!$Z41,IF(AND($F$11="P",$F$7=4),(Grundtoleranzen!P41)+Grundtoleranzen!$AA41,IF(AND($F$11="P",$F$7=5),(Grundtoleranzen!P41)+Grundtoleranzen!$AB41,IF(AND($F$11="P",$F$7=6),(Grundtoleranzen!P41)+Grundtoleranzen!$AC41,IF(AND($F$11="P",$F$7=7),(Grundtoleranzen!P41)+Grundtoleranzen!$AD41,IF(AND($F$11="P",$F$7=8),(Grundtoleranzen!P41),IF(AND($F$11="P",$F$7=9),(Grundtoleranzen!P41),IF(AND($F$11="P",$F$7=10),(Grundtoleranzen!P41),IF(AND($F$11="P",$F$7=11),(Grundtoleranzen!P41),IF(AND($F$11="P",$F$7=12),(Grundtoleranzen!P41),IF(AND($F$11="P",$F$7=13),(Grundtoleranzen!P41),IF(AND($F$11="P",$F$7=14),(Grundtoleranzen!P41),IF(AND($F$11="P",$F$7=15),(Grundtoleranzen!P41),IF(AND($F$11="P",$F$7=16),(Grundtoleranzen!P41),IF(AND($F$11="P",$F$7=17),(Grundtoleranzen!P41),IF(AND($F$11="P",$F$7=18),(Grundtoleranzen!P41),"Error"))))))))))))))))))</f>
        <v>#REF!</v>
      </c>
      <c r="U9" s="70" t="e">
        <f>IF(AND($F$11="R",$F$7=1),(Grundtoleranzen!Q41),IF(AND($F$11="R",$F$7=2),(Grundtoleranzen!Q41),IF(AND($F$11="R",$F$7=3),(Grundtoleranzen!Q41)+Grundtoleranzen!$Z41,IF(AND($F$11="R",$F$7=4),(Grundtoleranzen!Q41)+Grundtoleranzen!$AA41,IF(AND($F$11="R",$F$7=5),(Grundtoleranzen!Q41)+Grundtoleranzen!$AB41,IF(AND($F$11="R",$F$7=6),(Grundtoleranzen!Q41)+Grundtoleranzen!$AC41,IF(AND($F$11="R",$F$7=7),(Grundtoleranzen!Q41)+Grundtoleranzen!$AD41,IF(AND($F$11="R",$F$7=8),(Grundtoleranzen!Q41)+Grundtoleranzen!$AE41,IF(AND($F$11="R",$F$7=9),(Grundtoleranzen!Q41),IF(AND($F$11="R",$F$7=10),(Grundtoleranzen!Q41),IF(AND($F$11="R",$F$7=11),(Grundtoleranzen!Q41),IF(AND($F$11="R",$F$7=12),(Grundtoleranzen!Q41),IF(AND($F$11="R",$F$7=13),(Grundtoleranzen!Q41),IF(AND($F$11="R",$F$7=14),(Grundtoleranzen!Q41),IF(AND($F$11="R",$F$7=15),(Grundtoleranzen!Q41),IF(AND($F$11="R",$F$7=16),(Grundtoleranzen!Q41),IF(AND($F$11="R",$F$7=17),(Grundtoleranzen!Q41),IF(AND($F$11="R",$F$7=18),(Grundtoleranzen!Q41),"Error"))))))))))))))))))</f>
        <v>#REF!</v>
      </c>
      <c r="V9" s="70" t="e">
        <f>IF(AND($F$11="S",$F$7=1),Grundtoleranzen!R41,IF(AND($F$11="S",$F$7=2),(Grundtoleranzen!R41),IF(AND($F$11="S",$F$7=3),(Grundtoleranzen!R41)+Grundtoleranzen!$Z41,IF(AND($F$11="S",$F$7=4),(Grundtoleranzen!R41)+Grundtoleranzen!$AA41,IF(AND($F$11="S",$F$7=5),(Grundtoleranzen!R41)+Grundtoleranzen!$AB41,IF(AND($F$11="S",$F$7=6),(Grundtoleranzen!R41)+Grundtoleranzen!$AC41,IF(AND($F$11="S",$F$7=7),(Grundtoleranzen!R41)+Grundtoleranzen!$AD41,IF(AND($F$11="S",$F$7=8),(Grundtoleranzen!R41),IF(AND($F$11="S",$F$7=9),(Grundtoleranzen!R41),IF(AND($F$11="S",$F$7=10),(Grundtoleranzen!R41),IF(AND($F$11="S",$F$7=11),(Grundtoleranzen!R41),IF(AND($F$11="S",$F$7=12),(Grundtoleranzen!R41),IF(AND($F$11="S",$F$7=13),(Grundtoleranzen!R41),IF(AND($F$11="S",$F$7=14),(Grundtoleranzen!R41),IF(AND($F$11="S",$F$7=15),(Grundtoleranzen!R41),IF(AND($F$11="S",$F$7=16),(Grundtoleranzen!R41),IF(AND($F$11="S",$F$7=17),(Grundtoleranzen!R41),IF(AND($F$11="S",$F$7=18),(Grundtoleranzen!R41),"Error"))))))))))))))))))</f>
        <v>#REF!</v>
      </c>
      <c r="W9" s="70" t="e">
        <f>IF(AND($F$11="T",$F$7=1),(Grundtoleranzen!S41),IF(AND($F$11="T",$F$7=2),(Grundtoleranzen!S41),IF(AND($F$11="T",$F$7=3),(Grundtoleranzen!S41)+Grundtoleranzen!$Z41,IF(AND($F$11="T",$F$7=4),(Grundtoleranzen!S41)+Grundtoleranzen!$AA41,IF(AND($F$11="T",$F$7=5),(Grundtoleranzen!S41)+Grundtoleranzen!$AB41,IF(AND($F$11="T",$F$7=6),(Grundtoleranzen!S41)+Grundtoleranzen!$AC41,IF(AND($F$11="T",$F$7=7),(Grundtoleranzen!S41)+Grundtoleranzen!$AD41,IF(AND($F$11="T",$F$7=8),(Grundtoleranzen!S41),IF(AND($F$11="T",$F$7=9),(Grundtoleranzen!S41),IF(AND($F$11="T",$F$7=10),(Grundtoleranzen!S41),IF(AND($F$11="T",$F$7=11),(Grundtoleranzen!S41),IF(AND($F$11="T",$F$7=12),(Grundtoleranzen!S41),IF(AND($F$11="T",$F$7=13),(Grundtoleranzen!S41),IF(AND($F$11="T",$F$7=14),(Grundtoleranzen!S41),IF(AND($F$11="T",$F$7=15),(Grundtoleranzen!S41),IF(AND($F$11="T",$F$7=16),(Grundtoleranzen!S41),IF(AND($F$11="T",$F$7=17),(Grundtoleranzen!S41),IF(AND($F$11="T",$F$7=18),(Grundtoleranzen!S41),"Error"))))))))))))))))))</f>
        <v>#REF!</v>
      </c>
      <c r="X9" s="70" t="e">
        <f>IF(AND($F$11="U",$F$7=1),(Grundtoleranzen!T41),IF(AND($F$11="U",$F$7=2),(Grundtoleranzen!T41),IF(AND($F$11="U",$F$7=3),(Grundtoleranzen!T41)+Grundtoleranzen!$Z41,IF(AND($F$11="U",$F$7=4),(Grundtoleranzen!T41)+Grundtoleranzen!$AA41,IF(AND($F$11="U",$F$7=5),(Grundtoleranzen!T41)+Grundtoleranzen!$AB41,IF(AND($F$11="U",$F$7=6),(Grundtoleranzen!T41)+Grundtoleranzen!$AC41,IF(AND($F$11="U",$F$7=7),(Grundtoleranzen!T41)+Grundtoleranzen!$AD41,IF(AND($F$11="U",$F$7=8),(Grundtoleranzen!T41),IF(AND($F$11="U",$F$7=9),(Grundtoleranzen!T41),IF(AND($F$11="U",$F$7=10),(Grundtoleranzen!T41),IF(AND($F$11="U",$F$7=11),(Grundtoleranzen!T41),IF(AND($F$11="U",$F$7=12),(Grundtoleranzen!T41),IF(AND($F$11="U",$F$7=13),(Grundtoleranzen!T41),IF(AND($F$11="U",$F$7=14),(Grundtoleranzen!T41),IF(AND($F$11="U",$F$7=15),(Grundtoleranzen!T41),IF(AND($F$11="U",$F$7=16),(Grundtoleranzen!T41),IF(AND($F$11="U",$F$7=17),(Grundtoleranzen!T41),IF(AND($F$11="U",$F$7=18),(Grundtoleranzen!T41),"Error"))))))))))))))))))</f>
        <v>#REF!</v>
      </c>
      <c r="Y9" s="70" t="e">
        <f>IF(AND($F$11="X",$F$7=1),(Grundtoleranzen!U41),IF(AND($F$11="X",$F$7=2),(Grundtoleranzen!U41),IF(AND($F$11="X",$F$7=3),(Grundtoleranzen!U41)+Grundtoleranzen!$Z41,IF(AND($F$11="X",$F$7=4),(Grundtoleranzen!U41)+Grundtoleranzen!$AA41,IF(AND($F$11="X",$F$7=5),(Grundtoleranzen!U41)+Grundtoleranzen!$AB41,IF(AND($F$11="X",$F$7=6),(Grundtoleranzen!U41)+Grundtoleranzen!$AC41,IF(AND($F$11="X",$F$7=7),(Grundtoleranzen!U41)+Grundtoleranzen!$AD41,IF(AND($F$11="X",$F$7=8),(Grundtoleranzen!U41)+Grundtoleranzen!$AE41,IF(AND($F$11="X",$F$7=9),(Grundtoleranzen!U41),IF(AND($F$11="X",$F$7=10),(Grundtoleranzen!U41),IF(AND($F$11="X",$F$7=11),(Grundtoleranzen!U41),IF(AND($F$11="X",$F$7=12),(Grundtoleranzen!U41),IF(AND($F$11="X",$F$7=13),(Grundtoleranzen!U41),IF(AND($F$11="X",$F$7=14),(Grundtoleranzen!U41),IF(AND($F$11="X",$F$7=15),(Grundtoleranzen!U41),IF(AND($F$11="X",$F$7=16),(Grundtoleranzen!U41),IF(AND($F$11="X",$F$7=17),(Grundtoleranzen!U41),IF(AND($F$11="X",$F$7=18),(Grundtoleranzen!U41),"Error"))))))))))))))))))</f>
        <v>#REF!</v>
      </c>
      <c r="Z9" s="70" t="e">
        <f>IF(AND($F$11="Z",$F$7=1),(Grundtoleranzen!V41),IF(AND($F$11="Z",$F$7=2),(Grundtoleranzen!V41),IF(AND($F$11="Z",$F$7=3),(Grundtoleranzen!V41)+Grundtoleranzen!$Z41,IF(AND($F$11="Z",$F$7=4),(Grundtoleranzen!V41)+Grundtoleranzen!$AA41,IF(AND($F$11="Z",$F$7=5),(Grundtoleranzen!V41)+Grundtoleranzen!$AB41,IF(AND($F$11="Z",$F$7=6),(Grundtoleranzen!V41)+Grundtoleranzen!$AC41,IF(AND($F$11="Z",$F$7=7),(Grundtoleranzen!V41)+Grundtoleranzen!$AD41,IF(AND($F$11="Z",$F$7=8),(Grundtoleranzen!V41),IF(AND($F$11="Z",$F$7=9),(Grundtoleranzen!V41),IF(AND($F$11="Z",$F$7=10),(Grundtoleranzen!V41),IF(AND($F$11="Z",$F$7=11),(Grundtoleranzen!V41),IF(AND($F$11="Z",$F$7=12),(Grundtoleranzen!V41),IF(AND($F$11="Z",$F$7=13),(Grundtoleranzen!V41),IF(AND($F$11="Z",$F$7=14),(Grundtoleranzen!V41),IF(AND($F$11="Z",$F$7=15),(Grundtoleranzen!V41),IF(AND($F$11="Z",$F$7=16),(Grundtoleranzen!V41),IF(AND($F$11="Z",$F$7=17),(Grundtoleranzen!V41),IF(AND($F$11="Z",$F$7=18),(Grundtoleranzen!V41),"Error"))))))))))))))))))</f>
        <v>#REF!</v>
      </c>
      <c r="AA9" s="70" t="e">
        <f>IF(AND($F$11="ZA",$F$7=1),(Grundtoleranzen!W41),IF(AND($F$11="ZA",$F$7=2),(Grundtoleranzen!W41),IF(AND($F$11="ZA",$F$7=3),(Grundtoleranzen!W41)+Grundtoleranzen!$Z41,IF(AND($F$11="ZA",$F$7=4),(Grundtoleranzen!W41)+Grundtoleranzen!$AA41,IF(AND($F$11="ZA",$F$7=5),(Grundtoleranzen!W41)+Grundtoleranzen!$AB41,IF(AND($F$11="ZA",$F$7=6),(Grundtoleranzen!W41)+Grundtoleranzen!$AC41,IF(AND($F$11="ZA",$F$7=7),(Grundtoleranzen!W41)+Grundtoleranzen!$AD41,IF(AND($F$11="ZA",$F$7=8),(Grundtoleranzen!W41),IF(AND($F$11="ZA",$F$7=9),(Grundtoleranzen!W41),IF(AND($F$11="ZA",$F$7=10),(Grundtoleranzen!W41),IF(AND($F$11="ZA",$F$7=11),(Grundtoleranzen!W41),IF(AND($F$11="ZA",$F$7=12),(Grundtoleranzen!W41),IF(AND($F$11="ZA",$F$7=13),(Grundtoleranzen!W41),IF(AND($F$11="ZA",$F$7=14),(Grundtoleranzen!W41),IF(AND($F$11="ZA",$F$7=15),(Grundtoleranzen!W41),IF(AND($F$11="ZA",$F$7=16),(Grundtoleranzen!W41),IF(AND($F$11="ZA",$F$7=17),(Grundtoleranzen!W41),IF(AND($F$11="ZA",$F$7=18),(Grundtoleranzen!W41),"Error"))))))))))))))))))</f>
        <v>#REF!</v>
      </c>
      <c r="AB9" s="70" t="e">
        <f>IF(AND($F$11="ZB",$F$7=1),(Grundtoleranzen!X41),IF(AND($F$11="ZB",$F$7=2),(Grundtoleranzen!X41),IF(AND($F$11="ZB",$F$7=3),(Grundtoleranzen!X41)+Grundtoleranzen!$Z41,IF(AND($F$11="ZB",$F$7=4),(Grundtoleranzen!X41)+Grundtoleranzen!$AA41,IF(AND($F$11="ZB",$F$7=5),(Grundtoleranzen!X41)+Grundtoleranzen!$AB41,IF(AND($F$11="ZB",$F$7=6),(Grundtoleranzen!X41)+Grundtoleranzen!$AC41,IF(AND($F$11="ZB",$F$7=7),(Grundtoleranzen!X41)+Grundtoleranzen!$AD41,IF(AND($F$11="ZB",$F$7=8),(Grundtoleranzen!X41),IF(AND($F$11="ZB",$F$7=9),(Grundtoleranzen!X41),IF(AND($F$11="ZB",$F$7=10),(Grundtoleranzen!X41),IF(AND($F$11="ZB",$F$7=11),(Grundtoleranzen!X41),IF(AND($F$11="ZB",$F$7=12),(Grundtoleranzen!X41),IF(AND($F$11="ZB",$F$7=13),(Grundtoleranzen!X41),IF(AND($F$11="ZB",$F$7=14),(Grundtoleranzen!X41),IF(AND($F$11="ZB",$F$7=15),(Grundtoleranzen!X41),IF(AND($F$11="ZB",$F$7=16),(Grundtoleranzen!X41),IF(AND($F$11="ZB",$F$7=17),(Grundtoleranzen!X41),IF(AND($F$11="ZB",$F$7=18),(Grundtoleranzen!X41),"Error"))))))))))))))))))</f>
        <v>#REF!</v>
      </c>
      <c r="AC9" s="70" t="e">
        <f>IF(AND($F$11="ZC",$F$7=1),(Grundtoleranzen!Y41),IF(AND($F$11="ZC",$F$7=2),(Grundtoleranzen!Y41),IF(AND($F$11="ZC",$F$7=3),(Grundtoleranzen!Y41)+Grundtoleranzen!$Z41,IF(AND($F$11="ZC",$F$7=4),(Grundtoleranzen!Y41)+Grundtoleranzen!$AA41,IF(AND($F$11="ZC",$F$7=5),(Grundtoleranzen!Y41)+Grundtoleranzen!$AB41,IF(AND($F$11="ZC",$F$7=6),(Grundtoleranzen!Y41)+Grundtoleranzen!$AC41,IF(AND($F$11="ZC",$F$7=7),(Grundtoleranzen!Y41)+Grundtoleranzen!$AD41,IF(AND($F$11="ZC",$F$7=8),(Grundtoleranzen!Y41),IF(AND($F$11="ZC",$F$7=9),(Grundtoleranzen!Y41),IF(AND($F$11="ZC",$F$7=10),(Grundtoleranzen!Y41),IF(AND($F$11="ZC",$F$7=11),(Grundtoleranzen!Y41),IF(AND($F$11="ZC",$F$7=12),(Grundtoleranzen!Y41),IF(AND($F$11="ZC",$F$7=13),(Grundtoleranzen!Y41),IF(AND($F$11="ZC",$F$7=14),(Grundtoleranzen!Y41),IF(AND($F$11="ZC",$F$7=15),(Grundtoleranzen!Y41),IF(AND($F$11="ZC",$F$7=16),(Grundtoleranzen!Y41),IF(AND($F$11="ZC",$F$7=17),(Grundtoleranzen!Y41),IF(AND($F$11="ZC",$F$7=18),(Grundtoleranzen!Y41),"Error"))))))))))))))))))</f>
        <v>#REF!</v>
      </c>
    </row>
    <row r="10" spans="1:29" ht="15" customHeight="1" x14ac:dyDescent="0.25">
      <c r="A10" s="66">
        <v>8</v>
      </c>
      <c r="B10" s="66" t="s">
        <v>160</v>
      </c>
      <c r="C10" s="66" t="s">
        <v>101</v>
      </c>
      <c r="E10" s="348" t="s">
        <v>174</v>
      </c>
      <c r="F10" s="349"/>
      <c r="H10" s="24" t="s">
        <v>75</v>
      </c>
      <c r="I10" s="38" t="e">
        <f>IF(AND(F$7=1),Grundtoleranzen!B11,IF(AND(F$7=2),Grundtoleranzen!C11,IF(AND(F$7=3),Grundtoleranzen!D11,IF(AND(F$7=4),Grundtoleranzen!E11,IF(AND(F$7=5),Grundtoleranzen!F11,IF(AND(F$7=6),Grundtoleranzen!G11,IF(AND(F$7=7),Grundtoleranzen!H11,IF(AND(F$7=8),Grundtoleranzen!I11,IF(AND(F$7=9),Grundtoleranzen!J11,IF(AND(F$7=10),Grundtoleranzen!K11,IF(AND(F$7=11),Grundtoleranzen!L11,IF(AND(F$7=12),Grundtoleranzen!M11,IF(AND(F$7=13),Grundtoleranzen!N11,IF(AND(F$7=14),Grundtoleranzen!O11,IF(AND(F$7=15),Grundtoleranzen!P11,IF(AND(F$7=16),Grundtoleranzen!Q11,IF(AND(F$7=17),Grundtoleranzen!R11,IF(AND(F$7=18),Grundtoleranzen!S11))))))))))))))))))</f>
        <v>#REF!</v>
      </c>
      <c r="K10" s="24" t="s">
        <v>132</v>
      </c>
      <c r="L10" s="68" t="e">
        <f>IF(AND(F$11="C"),Grundtoleranzen!B42,IF(AND(F$11="D"),Grundtoleranzen!C42,IF(AND(F$11="E"),Grundtoleranzen!D42,IF(AND(F$11="F"),Grundtoleranzen!E42,IF(AND(F$11="G"),Grundtoleranzen!F42,IF(AND(F$11="H"),Grundtoleranzen!G42))))))</f>
        <v>#REF!</v>
      </c>
      <c r="M10" s="24" t="s">
        <v>75</v>
      </c>
      <c r="N10" s="70" t="e">
        <f>IF(AND(F$11="JS",F$7=1),(Grundtoleranzen!B11)/2,IF(AND(F$11="JS",F$7=2),(Grundtoleranzen!C11)/2,IF(AND(F$11="JS",F$7=3),(Grundtoleranzen!D11)/2,IF(AND(F$11="JS",F$7=4),(Grundtoleranzen!E11)/2,IF(AND(F$11="JS",F$7=5),(Grundtoleranzen!F11)/2,IF(AND(F$11="JS",F$7=6),(Grundtoleranzen!G11)/2,IF(AND(F$11="JS",F$7=7),(Grundtoleranzen!H11)/2,IF(AND(F$11="JS",F$7=8),(Grundtoleranzen!I11)/2,IF(AND(F$11="JS",F$7=9),(Grundtoleranzen!J11)/2,IF(AND(F$11="JS",F$7=10),(Grundtoleranzen!K11)/2,IF(AND(F$11="JS",F$7=11),(Grundtoleranzen!L11)/2,IF(AND(F$11="JS",F$7=12),(Grundtoleranzen!M11)/2,IF(AND(F$11="JS",F$7=13),(Grundtoleranzen!N11)/2,IF(AND(F$11="JS",F$7=14),(Grundtoleranzen!O11)/2,IF(AND(F$11="JS",F$7=15),(Grundtoleranzen!P11)/2,IF(AND(F$11="JS",F$7=16),(Grundtoleranzen!Q11)/2,IF(AND(F$11="JS",F$7=17),(Grundtoleranzen!R11)/2,IF(AND(F$11="JS",F$7=18),(Grundtoleranzen!S11)/2))))))))))))))))))*-1</f>
        <v>#REF!</v>
      </c>
      <c r="P10" s="70" t="e">
        <f>IF(AND(F$11="J",F$7=6),(Grundtoleranzen!I42),IF(AND(F$11="J",F$7=7),(Grundtoleranzen!J42),IF(AND(F$11="J",F$7=8),(Grundtoleranzen!K42),"Nur IT6-8")))</f>
        <v>#REF!</v>
      </c>
      <c r="Q10" s="83" t="e">
        <f>IF(AND($F$11="K",$F$7=1),(Grundtoleranzen!L42),IF(AND($F$11="K",$F$7=2),(Grundtoleranzen!L42),IF(AND($F$11="K",$F$7=3),(Grundtoleranzen!L42)+Grundtoleranzen!Z42,IF(AND($F$11="K",$F$7=4),(Grundtoleranzen!L42)+Grundtoleranzen!AA42,IF(AND($F$11="K",$F$7=5),(Grundtoleranzen!L42)+Grundtoleranzen!AB42,IF(AND($F$11="K",$F$7=6),(Grundtoleranzen!L42)+Grundtoleranzen!AC42,IF(AND($F$11="K",$F$7=7),(Grundtoleranzen!L42)+Grundtoleranzen!AD42,IF(AND($F$11="K",$F$7=8),(Grundtoleranzen!L42)+Grundtoleranzen!AE42,"Nur IT 1 - 8"))))))))</f>
        <v>#REF!</v>
      </c>
      <c r="R10" s="70" t="e">
        <f>IF(AND($F$11="M",$F$7=1),(Grundtoleranzen!M42),IF(AND($F$11="M",$F$7=2),(Grundtoleranzen!M42),IF(AND($F$11="M",$F$7=3),(Grundtoleranzen!M42)+Grundtoleranzen!$Z42,IF(AND($F$11="M",$F$7=4),(Grundtoleranzen!M42)+Grundtoleranzen!$AA42,IF(AND($F$11="M",$F$7=5),(Grundtoleranzen!M42)+Grundtoleranzen!$AB42,IF(AND($F$11="M",$F$7=6),(Grundtoleranzen!M42)+Grundtoleranzen!$AC42,IF(AND($F$11="M",$F$7=7),(Grundtoleranzen!M42)+Grundtoleranzen!$AD42,IF(AND($F$11="M",$F$7=8),(Grundtoleranzen!M42)+Grundtoleranzen!$AE42,IF(AND($F$11="M",$F$7=9),(Grundtoleranzen!M42),IF(AND($F$11="M",$F$7=10),(Grundtoleranzen!M42),IF(AND($F$11="M",$F$7=11),(Grundtoleranzen!M42),IF(AND($F$11="M",$F$7=12),(Grundtoleranzen!M42),IF(AND($F$11="M",$F$7=13),(Grundtoleranzen!M42),IF(AND($F$11="M",$F$7=14),(Grundtoleranzen!M42),IF(AND($F$11="M",$F$7=15),(Grundtoleranzen!M42),IF(AND($F$11="M",$F$7=16),(Grundtoleranzen!M42),IF(AND($F$11="M",$F$7=17),(Grundtoleranzen!M42),IF(AND($F$11="M",$F$7=18),(Grundtoleranzen!M42),"Error"))))))))))))))))))</f>
        <v>#REF!</v>
      </c>
      <c r="S10" s="70" t="e">
        <f>IF(AND($F$11="N",$F$7=1),(Grundtoleranzen!N42),IF(AND($F$11="N",$F$7=2),(Grundtoleranzen!N42),IF(AND($F$11="N",$F$7=3),(Grundtoleranzen!N42)+Grundtoleranzen!$Z42,IF(AND($F$11="N",$F$7=4),(Grundtoleranzen!N42)+Grundtoleranzen!$AA42,IF(AND($F$11="N",$F$7=5),(Grundtoleranzen!N42)+Grundtoleranzen!$AB42,IF(AND($F$11="N",$F$7=6),(Grundtoleranzen!N42)+Grundtoleranzen!$AC42,IF(AND($F$11="N",$F$7=7),(Grundtoleranzen!N42)+Grundtoleranzen!$AD42,IF(AND($F$11="N",$F$7=8),(Grundtoleranzen!N42)+Grundtoleranzen!$AE42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#REF!</v>
      </c>
      <c r="T10" s="70" t="e">
        <f>IF(AND($F$11="P",$F$7=1),(Grundtoleranzen!P42),IF(AND($F$11="P",$F$7=2),(Grundtoleranzen!P42),IF(AND($F$11="P",$F$7=3),(Grundtoleranzen!P42)+Grundtoleranzen!$Z42,IF(AND($F$11="P",$F$7=4),(Grundtoleranzen!P42)+Grundtoleranzen!$AA42,IF(AND($F$11="P",$F$7=5),(Grundtoleranzen!P42)+Grundtoleranzen!$AB42,IF(AND($F$11="P",$F$7=6),(Grundtoleranzen!P42)+Grundtoleranzen!$AC42,IF(AND($F$11="P",$F$7=7),(Grundtoleranzen!P42)+Grundtoleranzen!$AD42,IF(AND($F$11="P",$F$7=8),(Grundtoleranzen!P42),IF(AND($F$11="P",$F$7=9),(Grundtoleranzen!P42),IF(AND($F$11="P",$F$7=10),(Grundtoleranzen!P42),IF(AND($F$11="P",$F$7=11),(Grundtoleranzen!P42),IF(AND($F$11="P",$F$7=12),(Grundtoleranzen!P42),IF(AND($F$11="P",$F$7=13),(Grundtoleranzen!P42),IF(AND($F$11="P",$F$7=14),(Grundtoleranzen!P42),IF(AND($F$11="P",$F$7=15),(Grundtoleranzen!P42),IF(AND($F$11="P",$F$7=16),(Grundtoleranzen!P42),IF(AND($F$11="P",$F$7=17),(Grundtoleranzen!P42),IF(AND($F$11="P",$F$7=18),(Grundtoleranzen!P42),"Error"))))))))))))))))))</f>
        <v>#REF!</v>
      </c>
      <c r="U10" s="70" t="e">
        <f>IF(AND($F$11="R",$F$7=1),(Grundtoleranzen!Q42),IF(AND($F$11="R",$F$7=2),(Grundtoleranzen!Q42),IF(AND($F$11="R",$F$7=3),(Grundtoleranzen!Q42)+Grundtoleranzen!$Z42,IF(AND($F$11="R",$F$7=4),(Grundtoleranzen!Q42)+Grundtoleranzen!$AA42,IF(AND($F$11="R",$F$7=5),(Grundtoleranzen!Q42)+Grundtoleranzen!$AB42,IF(AND($F$11="R",$F$7=6),(Grundtoleranzen!Q42)+Grundtoleranzen!$AC42,IF(AND($F$11="R",$F$7=7),(Grundtoleranzen!Q42)+Grundtoleranzen!$AD42,IF(AND($F$11="R",$F$7=8),(Grundtoleranzen!Q42)+Grundtoleranzen!$AE42,IF(AND($F$11="R",$F$7=9),(Grundtoleranzen!Q42),IF(AND($F$11="R",$F$7=10),(Grundtoleranzen!Q42),IF(AND($F$11="R",$F$7=11),(Grundtoleranzen!Q42),IF(AND($F$11="R",$F$7=12),(Grundtoleranzen!Q42),IF(AND($F$11="R",$F$7=13),(Grundtoleranzen!Q42),IF(AND($F$11="R",$F$7=14),(Grundtoleranzen!Q42),IF(AND($F$11="R",$F$7=15),(Grundtoleranzen!Q42),IF(AND($F$11="R",$F$7=16),(Grundtoleranzen!Q42),IF(AND($F$11="R",$F$7=17),(Grundtoleranzen!Q42),IF(AND($F$11="R",$F$7=18),(Grundtoleranzen!Q42),"Error"))))))))))))))))))</f>
        <v>#REF!</v>
      </c>
      <c r="V10" s="70" t="e">
        <f>IF(AND($F$11="S",$F$7=1),Grundtoleranzen!R42,IF(AND($F$11="S",$F$7=2),(Grundtoleranzen!R42),IF(AND($F$11="S",$F$7=3),(Grundtoleranzen!R42)+Grundtoleranzen!$Z42,IF(AND($F$11="S",$F$7=4),(Grundtoleranzen!R42)+Grundtoleranzen!$AA42,IF(AND($F$11="S",$F$7=5),(Grundtoleranzen!R42)+Grundtoleranzen!$AB42,IF(AND($F$11="S",$F$7=6),(Grundtoleranzen!R42)+Grundtoleranzen!$AC42,IF(AND($F$11="S",$F$7=7),(Grundtoleranzen!R42)+Grundtoleranzen!$AD42,IF(AND($F$11="S",$F$7=8),(Grundtoleranzen!R42),IF(AND($F$11="S",$F$7=9),(Grundtoleranzen!R42),IF(AND($F$11="S",$F$7=10),(Grundtoleranzen!R42),IF(AND($F$11="S",$F$7=11),(Grundtoleranzen!R42),IF(AND($F$11="S",$F$7=12),(Grundtoleranzen!R42),IF(AND($F$11="S",$F$7=13),(Grundtoleranzen!R42),IF(AND($F$11="S",$F$7=14),(Grundtoleranzen!R42),IF(AND($F$11="S",$F$7=15),(Grundtoleranzen!R42),IF(AND($F$11="S",$F$7=16),(Grundtoleranzen!R42),IF(AND($F$11="S",$F$7=17),(Grundtoleranzen!R42),IF(AND($F$11="S",$F$7=18),(Grundtoleranzen!R42),"Error"))))))))))))))))))</f>
        <v>#REF!</v>
      </c>
      <c r="W10" s="70" t="e">
        <f>IF(AND($F$11="T",$F$7=1),(Grundtoleranzen!S42),IF(AND($F$11="T",$F$7=2),(Grundtoleranzen!S42),IF(AND($F$11="T",$F$7=3),(Grundtoleranzen!S42)+Grundtoleranzen!$Z42,IF(AND($F$11="T",$F$7=4),(Grundtoleranzen!S42)+Grundtoleranzen!$AA42,IF(AND($F$11="T",$F$7=5),(Grundtoleranzen!S42)+Grundtoleranzen!$AB42,IF(AND($F$11="T",$F$7=6),(Grundtoleranzen!S42)+Grundtoleranzen!$AC42,IF(AND($F$11="T",$F$7=7),(Grundtoleranzen!S42)+Grundtoleranzen!$AD42,IF(AND($F$11="T",$F$7=8),(Grundtoleranzen!S42),IF(AND($F$11="T",$F$7=9),(Grundtoleranzen!S42),IF(AND($F$11="T",$F$7=10),(Grundtoleranzen!S42),IF(AND($F$11="T",$F$7=11),(Grundtoleranzen!S42),IF(AND($F$11="T",$F$7=12),(Grundtoleranzen!S42),IF(AND($F$11="T",$F$7=13),(Grundtoleranzen!S42),IF(AND($F$11="T",$F$7=14),(Grundtoleranzen!S42),IF(AND($F$11="T",$F$7=15),(Grundtoleranzen!S42),IF(AND($F$11="T",$F$7=16),(Grundtoleranzen!S42),IF(AND($F$11="T",$F$7=17),(Grundtoleranzen!S42),IF(AND($F$11="T",$F$7=18),(Grundtoleranzen!S42),"Error"))))))))))))))))))</f>
        <v>#REF!</v>
      </c>
      <c r="X10" s="70" t="e">
        <f>IF(AND($F$11="U",$F$7=1),(Grundtoleranzen!T42),IF(AND($F$11="U",$F$7=2),(Grundtoleranzen!T42),IF(AND($F$11="U",$F$7=3),(Grundtoleranzen!T42)+Grundtoleranzen!$Z42,IF(AND($F$11="U",$F$7=4),(Grundtoleranzen!T42)+Grundtoleranzen!$AA42,IF(AND($F$11="U",$F$7=5),(Grundtoleranzen!T42)+Grundtoleranzen!$AB42,IF(AND($F$11="U",$F$7=6),(Grundtoleranzen!T42)+Grundtoleranzen!$AC42,IF(AND($F$11="U",$F$7=7),(Grundtoleranzen!T42)+Grundtoleranzen!$AD42,IF(AND($F$11="U",$F$7=8),(Grundtoleranzen!T42),IF(AND($F$11="U",$F$7=9),(Grundtoleranzen!T42),IF(AND($F$11="U",$F$7=10),(Grundtoleranzen!T42),IF(AND($F$11="U",$F$7=11),(Grundtoleranzen!T42),IF(AND($F$11="U",$F$7=12),(Grundtoleranzen!T42),IF(AND($F$11="U",$F$7=13),(Grundtoleranzen!T42),IF(AND($F$11="U",$F$7=14),(Grundtoleranzen!T42),IF(AND($F$11="U",$F$7=15),(Grundtoleranzen!T42),IF(AND($F$11="U",$F$7=16),(Grundtoleranzen!T42),IF(AND($F$11="U",$F$7=17),(Grundtoleranzen!T42),IF(AND($F$11="U",$F$7=18),(Grundtoleranzen!T42),"Error"))))))))))))))))))</f>
        <v>#REF!</v>
      </c>
      <c r="Y10" s="70" t="e">
        <f>IF(AND($F$11="X",$F$7=1),(Grundtoleranzen!U42),IF(AND($F$11="X",$F$7=2),(Grundtoleranzen!U42),IF(AND($F$11="X",$F$7=3),(Grundtoleranzen!U42)+Grundtoleranzen!$Z42,IF(AND($F$11="X",$F$7=4),(Grundtoleranzen!U42)+Grundtoleranzen!$AA42,IF(AND($F$11="X",$F$7=5),(Grundtoleranzen!U42)+Grundtoleranzen!$AB42,IF(AND($F$11="X",$F$7=6),(Grundtoleranzen!U42)+Grundtoleranzen!$AC42,IF(AND($F$11="X",$F$7=7),(Grundtoleranzen!U42)+Grundtoleranzen!$AD42,IF(AND($F$11="X",$F$7=8),(Grundtoleranzen!U42)+Grundtoleranzen!$AE42,IF(AND($F$11="X",$F$7=9),(Grundtoleranzen!U42),IF(AND($F$11="X",$F$7=10),(Grundtoleranzen!U42),IF(AND($F$11="X",$F$7=11),(Grundtoleranzen!U42),IF(AND($F$11="X",$F$7=12),(Grundtoleranzen!U42),IF(AND($F$11="X",$F$7=13),(Grundtoleranzen!U42),IF(AND($F$11="X",$F$7=14),(Grundtoleranzen!U42),IF(AND($F$11="X",$F$7=15),(Grundtoleranzen!U42),IF(AND($F$11="X",$F$7=16),(Grundtoleranzen!U42),IF(AND($F$11="X",$F$7=17),(Grundtoleranzen!U42),IF(AND($F$11="X",$F$7=18),(Grundtoleranzen!U42),"Error"))))))))))))))))))</f>
        <v>#REF!</v>
      </c>
      <c r="Z10" s="70" t="e">
        <f>IF(AND($F$11="Z",$F$7=1),(Grundtoleranzen!V42),IF(AND($F$11="Z",$F$7=2),(Grundtoleranzen!V42),IF(AND($F$11="Z",$F$7=3),(Grundtoleranzen!V42)+Grundtoleranzen!$Z42,IF(AND($F$11="Z",$F$7=4),(Grundtoleranzen!V42)+Grundtoleranzen!$AA42,IF(AND($F$11="Z",$F$7=5),(Grundtoleranzen!V42)+Grundtoleranzen!$AB42,IF(AND($F$11="Z",$F$7=6),(Grundtoleranzen!V42)+Grundtoleranzen!$AC42,IF(AND($F$11="Z",$F$7=7),(Grundtoleranzen!V42)+Grundtoleranzen!$AD42,IF(AND($F$11="Z",$F$7=8),(Grundtoleranzen!V42),IF(AND($F$11="Z",$F$7=9),(Grundtoleranzen!V42),IF(AND($F$11="Z",$F$7=10),(Grundtoleranzen!V42),IF(AND($F$11="Z",$F$7=11),(Grundtoleranzen!V42),IF(AND($F$11="Z",$F$7=12),(Grundtoleranzen!V42),IF(AND($F$11="Z",$F$7=13),(Grundtoleranzen!V42),IF(AND($F$11="Z",$F$7=14),(Grundtoleranzen!V42),IF(AND($F$11="Z",$F$7=15),(Grundtoleranzen!V42),IF(AND($F$11="Z",$F$7=16),(Grundtoleranzen!V42),IF(AND($F$11="Z",$F$7=17),(Grundtoleranzen!V42),IF(AND($F$11="Z",$F$7=18),(Grundtoleranzen!V42),"Error"))))))))))))))))))</f>
        <v>#REF!</v>
      </c>
      <c r="AA10" s="70" t="e">
        <f>IF(AND($F$11="ZA",$F$7=1),(Grundtoleranzen!W42),IF(AND($F$11="ZA",$F$7=2),(Grundtoleranzen!W42),IF(AND($F$11="ZA",$F$7=3),(Grundtoleranzen!W42)+Grundtoleranzen!$Z42,IF(AND($F$11="ZA",$F$7=4),(Grundtoleranzen!W42)+Grundtoleranzen!$AA42,IF(AND($F$11="ZA",$F$7=5),(Grundtoleranzen!W42)+Grundtoleranzen!$AB42,IF(AND($F$11="ZA",$F$7=6),(Grundtoleranzen!W42)+Grundtoleranzen!$AC42,IF(AND($F$11="ZA",$F$7=7),(Grundtoleranzen!W42)+Grundtoleranzen!$AD42,IF(AND($F$11="ZA",$F$7=8),(Grundtoleranzen!W42),IF(AND($F$11="ZA",$F$7=9),(Grundtoleranzen!W42),IF(AND($F$11="ZA",$F$7=10),(Grundtoleranzen!W42),IF(AND($F$11="ZA",$F$7=11),(Grundtoleranzen!W42),IF(AND($F$11="ZA",$F$7=12),(Grundtoleranzen!W42),IF(AND($F$11="ZA",$F$7=13),(Grundtoleranzen!W42),IF(AND($F$11="ZA",$F$7=14),(Grundtoleranzen!W42),IF(AND($F$11="ZA",$F$7=15),(Grundtoleranzen!W42),IF(AND($F$11="ZA",$F$7=16),(Grundtoleranzen!W42),IF(AND($F$11="ZA",$F$7=17),(Grundtoleranzen!W42),IF(AND($F$11="ZA",$F$7=18),(Grundtoleranzen!W42),"Error"))))))))))))))))))</f>
        <v>#REF!</v>
      </c>
      <c r="AB10" s="70" t="e">
        <f>IF(AND($F$11="ZB",$F$7=1),(Grundtoleranzen!X42),IF(AND($F$11="ZB",$F$7=2),(Grundtoleranzen!X42),IF(AND($F$11="ZB",$F$7=3),(Grundtoleranzen!X42)+Grundtoleranzen!$Z42,IF(AND($F$11="ZB",$F$7=4),(Grundtoleranzen!X42)+Grundtoleranzen!$AA42,IF(AND($F$11="ZB",$F$7=5),(Grundtoleranzen!X42)+Grundtoleranzen!$AB42,IF(AND($F$11="ZB",$F$7=6),(Grundtoleranzen!X42)+Grundtoleranzen!$AC42,IF(AND($F$11="ZB",$F$7=7),(Grundtoleranzen!X42)+Grundtoleranzen!$AD42,IF(AND($F$11="ZB",$F$7=8),(Grundtoleranzen!X42),IF(AND($F$11="ZB",$F$7=9),(Grundtoleranzen!X42),IF(AND($F$11="ZB",$F$7=10),(Grundtoleranzen!X42),IF(AND($F$11="ZB",$F$7=11),(Grundtoleranzen!X42),IF(AND($F$11="ZB",$F$7=12),(Grundtoleranzen!X42),IF(AND($F$11="ZB",$F$7=13),(Grundtoleranzen!X42),IF(AND($F$11="ZB",$F$7=14),(Grundtoleranzen!X42),IF(AND($F$11="ZB",$F$7=15),(Grundtoleranzen!X42),IF(AND($F$11="ZB",$F$7=16),(Grundtoleranzen!X42),IF(AND($F$11="ZB",$F$7=17),(Grundtoleranzen!X42),IF(AND($F$11="ZB",$F$7=18),(Grundtoleranzen!X42),"Error"))))))))))))))))))</f>
        <v>#REF!</v>
      </c>
      <c r="AC10" s="70" t="e">
        <f>IF(AND($F$11="ZC",$F$7=1),(Grundtoleranzen!Y42),IF(AND($F$11="ZC",$F$7=2),(Grundtoleranzen!Y42),IF(AND($F$11="ZC",$F$7=3),(Grundtoleranzen!Y42)+Grundtoleranzen!$Z42,IF(AND($F$11="ZC",$F$7=4),(Grundtoleranzen!Y42)+Grundtoleranzen!$AA42,IF(AND($F$11="ZC",$F$7=5),(Grundtoleranzen!Y42)+Grundtoleranzen!$AB42,IF(AND($F$11="ZC",$F$7=6),(Grundtoleranzen!Y42)+Grundtoleranzen!$AC42,IF(AND($F$11="ZC",$F$7=7),(Grundtoleranzen!Y42)+Grundtoleranzen!$AD42,IF(AND($F$11="ZC",$F$7=8),(Grundtoleranzen!Y42),IF(AND($F$11="ZC",$F$7=9),(Grundtoleranzen!Y42),IF(AND($F$11="ZC",$F$7=10),(Grundtoleranzen!Y42),IF(AND($F$11="ZC",$F$7=11),(Grundtoleranzen!Y42),IF(AND($F$11="ZC",$F$7=12),(Grundtoleranzen!Y42),IF(AND($F$11="ZC",$F$7=13),(Grundtoleranzen!Y42),IF(AND($F$11="ZC",$F$7=14),(Grundtoleranzen!Y42),IF(AND($F$11="ZC",$F$7=15),(Grundtoleranzen!Y42),IF(AND($F$11="ZC",$F$7=16),(Grundtoleranzen!Y42),IF(AND($F$11="ZC",$F$7=17),(Grundtoleranzen!Y42),IF(AND($F$11="ZC",$F$7=18),(Grundtoleranzen!Y42),"Error"))))))))))))))))))</f>
        <v>#REF!</v>
      </c>
    </row>
    <row r="11" spans="1:29" ht="15.75" thickBot="1" x14ac:dyDescent="0.3">
      <c r="A11" s="66">
        <v>9</v>
      </c>
      <c r="B11" s="66" t="s">
        <v>161</v>
      </c>
      <c r="C11" s="66" t="s">
        <v>102</v>
      </c>
      <c r="E11" s="36" t="s">
        <v>6</v>
      </c>
      <c r="F11" s="37" t="e">
        <f>'Allg.toleranzen DIN ISO 2768'!#REF!</f>
        <v>#REF!</v>
      </c>
      <c r="H11" s="24" t="s">
        <v>76</v>
      </c>
      <c r="I11" s="38" t="e">
        <f>IF(AND(F$7=1),Grundtoleranzen!B12,IF(AND(F$7=2),Grundtoleranzen!C12,IF(AND(F$7=3),Grundtoleranzen!D12,IF(AND(F$7=4),Grundtoleranzen!E12,IF(AND(F$7=5),Grundtoleranzen!F12,IF(AND(F$7=6),Grundtoleranzen!G12,IF(AND(F$7=7),Grundtoleranzen!H12,IF(AND(F$7=8),Grundtoleranzen!I12,IF(AND(F$7=9),Grundtoleranzen!J12,IF(AND(F$7=10),Grundtoleranzen!K12,IF(AND(F$7=11),Grundtoleranzen!L12,IF(AND(F$7=12),Grundtoleranzen!M12,IF(AND(F$7=13),Grundtoleranzen!N12,IF(AND(F$7=14),Grundtoleranzen!O12,IF(AND(F$7=15),Grundtoleranzen!P12,IF(AND(F$7=16),Grundtoleranzen!Q12,IF(AND(F$7=17),Grundtoleranzen!R12,IF(AND(F$7=18),Grundtoleranzen!S12))))))))))))))))))</f>
        <v>#REF!</v>
      </c>
      <c r="K11" s="24" t="s">
        <v>133</v>
      </c>
      <c r="L11" s="68" t="e">
        <f>IF(AND(F$11="C"),Grundtoleranzen!B43,IF(AND(F$11="D"),Grundtoleranzen!C43,IF(AND(F$11="E"),Grundtoleranzen!D43,IF(AND(F$11="F"),Grundtoleranzen!E43,IF(AND(F$11="G"),Grundtoleranzen!F43,IF(AND(F$11="H"),Grundtoleranzen!G43))))))</f>
        <v>#REF!</v>
      </c>
      <c r="M11" s="24" t="s">
        <v>76</v>
      </c>
      <c r="N11" s="70" t="e">
        <f>IF(AND(F$11="JS",F$7=1),(Grundtoleranzen!B12)/2,IF(AND(F$11="JS",F$7=2),(Grundtoleranzen!C12)/2,IF(AND(F$11="JS",F$7=3),(Grundtoleranzen!D12)/2,IF(AND(F$11="JS",F$7=4),(Grundtoleranzen!E12)/2,IF(AND(F$11="JS",F$7=5),(Grundtoleranzen!F12)/2,IF(AND(F$11="JS",F$7=6),(Grundtoleranzen!G12)/2,IF(AND(F$11="JS",F$7=7),(Grundtoleranzen!H12)/2,IF(AND(F$11="JS",F$7=8),(Grundtoleranzen!I12)/2,IF(AND(F$11="JS",F$7=9),(Grundtoleranzen!J12)/2,IF(AND(F$11="JS",F$7=10),(Grundtoleranzen!K12)/2,IF(AND(F$11="JS",F$7=11),(Grundtoleranzen!L12)/2,IF(AND(F$11="JS",F$7=12),(Grundtoleranzen!M12)/2,IF(AND(F$11="JS",F$7=13),(Grundtoleranzen!N12)/2,IF(AND(F$11="JS",F$7=14),(Grundtoleranzen!O12)/2,IF(AND(F$11="JS",F$7=15),(Grundtoleranzen!P12)/2,IF(AND(F$11="JS",F$7=16),(Grundtoleranzen!Q12)/2,IF(AND(F$11="JS",F$7=17),(Grundtoleranzen!R12)/2,IF(AND(F$11="JS",F$7=18),(Grundtoleranzen!S12)/2))))))))))))))))))*-1</f>
        <v>#REF!</v>
      </c>
      <c r="P11" s="70" t="e">
        <f>IF(AND(F$11="J",F$7=6),(Grundtoleranzen!I43),IF(AND(F$11="J",F$7=7),(Grundtoleranzen!J43),IF(AND(F$11="J",F$7=8),(Grundtoleranzen!K43),"Nur IT6-8")))</f>
        <v>#REF!</v>
      </c>
      <c r="Q11" s="83" t="e">
        <f>IF(AND($F$11="K",$F$7=1),(Grundtoleranzen!L43),IF(AND($F$11="K",$F$7=2),(Grundtoleranzen!L43),IF(AND($F$11="K",$F$7=3),(Grundtoleranzen!L43)+Grundtoleranzen!Z43,IF(AND($F$11="K",$F$7=4),(Grundtoleranzen!L43)+Grundtoleranzen!AA43,IF(AND($F$11="K",$F$7=5),(Grundtoleranzen!L43)+Grundtoleranzen!AB43,IF(AND($F$11="K",$F$7=6),(Grundtoleranzen!L43)+Grundtoleranzen!AC43,IF(AND($F$11="K",$F$7=7),(Grundtoleranzen!L43)+Grundtoleranzen!AD43,IF(AND($F$11="K",$F$7=8),(Grundtoleranzen!L43)+Grundtoleranzen!AE43,"Nur IT 1 - 8"))))))))</f>
        <v>#REF!</v>
      </c>
      <c r="R11" s="70" t="e">
        <f>IF(AND($F$11="M",$F$7=1),(Grundtoleranzen!M43),IF(AND($F$11="M",$F$7=2),(Grundtoleranzen!M43),IF(AND($F$11="M",$F$7=3),(Grundtoleranzen!M43)+Grundtoleranzen!$Z43,IF(AND($F$11="M",$F$7=4),(Grundtoleranzen!M43)+Grundtoleranzen!$AA43,IF(AND($F$11="M",$F$7=5),(Grundtoleranzen!M43)+Grundtoleranzen!$AB43,IF(AND($F$11="M",$F$7=6),(Grundtoleranzen!M43)+Grundtoleranzen!$AC43,IF(AND($F$11="M",$F$7=7),(Grundtoleranzen!M43)+Grundtoleranzen!$AD43,IF(AND($F$11="M",$F$7=8),(Grundtoleranzen!M43)+Grundtoleranzen!$AE43,IF(AND($F$11="M",$F$7=9),(Grundtoleranzen!M43),IF(AND($F$11="M",$F$7=10),(Grundtoleranzen!M43),IF(AND($F$11="M",$F$7=11),(Grundtoleranzen!M43),IF(AND($F$11="M",$F$7=12),(Grundtoleranzen!M43),IF(AND($F$11="M",$F$7=13),(Grundtoleranzen!M43),IF(AND($F$11="M",$F$7=14),(Grundtoleranzen!M43),IF(AND($F$11="M",$F$7=15),(Grundtoleranzen!M43),IF(AND($F$11="M",$F$7=16),(Grundtoleranzen!M43),IF(AND($F$11="M",$F$7=17),(Grundtoleranzen!M43),IF(AND($F$11="M",$F$7=18),(Grundtoleranzen!M43),"Error"))))))))))))))))))</f>
        <v>#REF!</v>
      </c>
      <c r="S11" s="70" t="e">
        <f>IF(AND($F$11="N",$F$7=1),(Grundtoleranzen!N43),IF(AND($F$11="N",$F$7=2),(Grundtoleranzen!N43),IF(AND($F$11="N",$F$7=3),(Grundtoleranzen!N43)+Grundtoleranzen!$Z43,IF(AND($F$11="N",$F$7=4),(Grundtoleranzen!N43)+Grundtoleranzen!$AA43,IF(AND($F$11="N",$F$7=5),(Grundtoleranzen!N43)+Grundtoleranzen!$AB43,IF(AND($F$11="N",$F$7=6),(Grundtoleranzen!N43)+Grundtoleranzen!$AC43,IF(AND($F$11="N",$F$7=7),(Grundtoleranzen!N43)+Grundtoleranzen!$AD43,IF(AND($F$11="N",$F$7=8),(Grundtoleranzen!N43)+Grundtoleranzen!$AE43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#REF!</v>
      </c>
      <c r="T11" s="70" t="e">
        <f>IF(AND($F$11="P",$F$7=1),(Grundtoleranzen!P43),IF(AND($F$11="P",$F$7=2),(Grundtoleranzen!P43),IF(AND($F$11="P",$F$7=3),(Grundtoleranzen!P43)+Grundtoleranzen!$Z43,IF(AND($F$11="P",$F$7=4),(Grundtoleranzen!P43)+Grundtoleranzen!$AA43,IF(AND($F$11="P",$F$7=5),(Grundtoleranzen!P43)+Grundtoleranzen!$AB43,IF(AND($F$11="P",$F$7=6),(Grundtoleranzen!P43)+Grundtoleranzen!$AC43,IF(AND($F$11="P",$F$7=7),(Grundtoleranzen!P43)+Grundtoleranzen!$AD43,IF(AND($F$11="P",$F$7=8),(Grundtoleranzen!P43),IF(AND($F$11="P",$F$7=9),(Grundtoleranzen!P43),IF(AND($F$11="P",$F$7=10),(Grundtoleranzen!P43),IF(AND($F$11="P",$F$7=11),(Grundtoleranzen!P43),IF(AND($F$11="P",$F$7=12),(Grundtoleranzen!P43),IF(AND($F$11="P",$F$7=13),(Grundtoleranzen!P43),IF(AND($F$11="P",$F$7=14),(Grundtoleranzen!P43),IF(AND($F$11="P",$F$7=15),(Grundtoleranzen!P43),IF(AND($F$11="P",$F$7=16),(Grundtoleranzen!P43),IF(AND($F$11="P",$F$7=17),(Grundtoleranzen!P43),IF(AND($F$11="P",$F$7=18),(Grundtoleranzen!P43),"Error"))))))))))))))))))</f>
        <v>#REF!</v>
      </c>
      <c r="U11" s="70" t="e">
        <f>IF(AND($F$11="R",$F$7=1),(Grundtoleranzen!Q43),IF(AND($F$11="R",$F$7=2),(Grundtoleranzen!Q43),IF(AND($F$11="R",$F$7=3),(Grundtoleranzen!Q43)+Grundtoleranzen!$Z43,IF(AND($F$11="R",$F$7=4),(Grundtoleranzen!Q43)+Grundtoleranzen!$AA43,IF(AND($F$11="R",$F$7=5),(Grundtoleranzen!Q43)+Grundtoleranzen!$AB43,IF(AND($F$11="R",$F$7=6),(Grundtoleranzen!Q43)+Grundtoleranzen!$AC43,IF(AND($F$11="R",$F$7=7),(Grundtoleranzen!Q43)+Grundtoleranzen!$AD43,IF(AND($F$11="R",$F$7=8),(Grundtoleranzen!Q43)+Grundtoleranzen!$AE43,IF(AND($F$11="R",$F$7=9),(Grundtoleranzen!Q43),IF(AND($F$11="R",$F$7=10),(Grundtoleranzen!Q43),IF(AND($F$11="R",$F$7=11),(Grundtoleranzen!Q43),IF(AND($F$11="R",$F$7=12),(Grundtoleranzen!Q43),IF(AND($F$11="R",$F$7=13),(Grundtoleranzen!Q43),IF(AND($F$11="R",$F$7=14),(Grundtoleranzen!Q43),IF(AND($F$11="R",$F$7=15),(Grundtoleranzen!Q43),IF(AND($F$11="R",$F$7=16),(Grundtoleranzen!Q43),IF(AND($F$11="R",$F$7=17),(Grundtoleranzen!Q43),IF(AND($F$11="R",$F$7=18),(Grundtoleranzen!Q43),"Error"))))))))))))))))))</f>
        <v>#REF!</v>
      </c>
      <c r="V11" s="70" t="e">
        <f>IF(AND($F$11="S",$F$7=1),Grundtoleranzen!R43,IF(AND($F$11="S",$F$7=2),(Grundtoleranzen!R43),IF(AND($F$11="S",$F$7=3),(Grundtoleranzen!R43)+Grundtoleranzen!$Z43,IF(AND($F$11="S",$F$7=4),(Grundtoleranzen!R43)+Grundtoleranzen!$AA43,IF(AND($F$11="S",$F$7=5),(Grundtoleranzen!R43)+Grundtoleranzen!$AB43,IF(AND($F$11="S",$F$7=6),(Grundtoleranzen!R43)+Grundtoleranzen!$AC43,IF(AND($F$11="S",$F$7=7),(Grundtoleranzen!R43)+Grundtoleranzen!$AD43,IF(AND($F$11="S",$F$7=8),(Grundtoleranzen!R43),IF(AND($F$11="S",$F$7=9),(Grundtoleranzen!R43),IF(AND($F$11="S",$F$7=10),(Grundtoleranzen!R43),IF(AND($F$11="S",$F$7=11),(Grundtoleranzen!R43),IF(AND($F$11="S",$F$7=12),(Grundtoleranzen!R43),IF(AND($F$11="S",$F$7=13),(Grundtoleranzen!R43),IF(AND($F$11="S",$F$7=14),(Grundtoleranzen!R43),IF(AND($F$11="S",$F$7=15),(Grundtoleranzen!R43),IF(AND($F$11="S",$F$7=16),(Grundtoleranzen!R43),IF(AND($F$11="S",$F$7=17),(Grundtoleranzen!R43),IF(AND($F$11="S",$F$7=18),(Grundtoleranzen!R43),"Error"))))))))))))))))))</f>
        <v>#REF!</v>
      </c>
      <c r="W11" s="70" t="e">
        <f>IF(AND($F$11="T",$F$7=1),(Grundtoleranzen!S43),IF(AND($F$11="T",$F$7=2),(Grundtoleranzen!S43),IF(AND($F$11="T",$F$7=3),(Grundtoleranzen!S43)+Grundtoleranzen!$Z43,IF(AND($F$11="T",$F$7=4),(Grundtoleranzen!S43)+Grundtoleranzen!$AA43,IF(AND($F$11="T",$F$7=5),(Grundtoleranzen!S43)+Grundtoleranzen!$AB43,IF(AND($F$11="T",$F$7=6),(Grundtoleranzen!S43)+Grundtoleranzen!$AC43,IF(AND($F$11="T",$F$7=7),(Grundtoleranzen!S43)+Grundtoleranzen!$AD43,IF(AND($F$11="T",$F$7=8),(Grundtoleranzen!S43),IF(AND($F$11="T",$F$7=9),(Grundtoleranzen!S43),IF(AND($F$11="T",$F$7=10),(Grundtoleranzen!S43),IF(AND($F$11="T",$F$7=11),(Grundtoleranzen!S43),IF(AND($F$11="T",$F$7=12),(Grundtoleranzen!S43),IF(AND($F$11="T",$F$7=13),(Grundtoleranzen!S43),IF(AND($F$11="T",$F$7=14),(Grundtoleranzen!S43),IF(AND($F$11="T",$F$7=15),(Grundtoleranzen!S43),IF(AND($F$11="T",$F$7=16),(Grundtoleranzen!S43),IF(AND($F$11="T",$F$7=17),(Grundtoleranzen!S43),IF(AND($F$11="T",$F$7=18),(Grundtoleranzen!S43),"Error"))))))))))))))))))</f>
        <v>#REF!</v>
      </c>
      <c r="X11" s="70" t="e">
        <f>IF(AND($F$11="U",$F$7=1),(Grundtoleranzen!T43),IF(AND($F$11="U",$F$7=2),(Grundtoleranzen!T43),IF(AND($F$11="U",$F$7=3),(Grundtoleranzen!T43)+Grundtoleranzen!$Z43,IF(AND($F$11="U",$F$7=4),(Grundtoleranzen!T43)+Grundtoleranzen!$AA43,IF(AND($F$11="U",$F$7=5),(Grundtoleranzen!T43)+Grundtoleranzen!$AB43,IF(AND($F$11="U",$F$7=6),(Grundtoleranzen!T43)+Grundtoleranzen!$AC43,IF(AND($F$11="U",$F$7=7),(Grundtoleranzen!T43)+Grundtoleranzen!$AD43,IF(AND($F$11="U",$F$7=8),(Grundtoleranzen!T43),IF(AND($F$11="U",$F$7=9),(Grundtoleranzen!T43),IF(AND($F$11="U",$F$7=10),(Grundtoleranzen!T43),IF(AND($F$11="U",$F$7=11),(Grundtoleranzen!T43),IF(AND($F$11="U",$F$7=12),(Grundtoleranzen!T43),IF(AND($F$11="U",$F$7=13),(Grundtoleranzen!T43),IF(AND($F$11="U",$F$7=14),(Grundtoleranzen!T43),IF(AND($F$11="U",$F$7=15),(Grundtoleranzen!T43),IF(AND($F$11="U",$F$7=16),(Grundtoleranzen!T43),IF(AND($F$11="U",$F$7=17),(Grundtoleranzen!T43),IF(AND($F$11="U",$F$7=18),(Grundtoleranzen!T43),"Error"))))))))))))))))))</f>
        <v>#REF!</v>
      </c>
      <c r="Y11" s="70" t="e">
        <f>IF(AND($F$11="X",$F$7=1),(Grundtoleranzen!U43),IF(AND($F$11="X",$F$7=2),(Grundtoleranzen!U43),IF(AND($F$11="X",$F$7=3),(Grundtoleranzen!U43)+Grundtoleranzen!$Z43,IF(AND($F$11="X",$F$7=4),(Grundtoleranzen!U43)+Grundtoleranzen!$AA43,IF(AND($F$11="X",$F$7=5),(Grundtoleranzen!U43)+Grundtoleranzen!$AB43,IF(AND($F$11="X",$F$7=6),(Grundtoleranzen!U43)+Grundtoleranzen!$AC43,IF(AND($F$11="X",$F$7=7),(Grundtoleranzen!U43)+Grundtoleranzen!$AD43,IF(AND($F$11="X",$F$7=8),(Grundtoleranzen!U43)+Grundtoleranzen!$AE43,IF(AND($F$11="X",$F$7=9),(Grundtoleranzen!U43),IF(AND($F$11="X",$F$7=10),(Grundtoleranzen!U43),IF(AND($F$11="X",$F$7=11),(Grundtoleranzen!U43),IF(AND($F$11="X",$F$7=12),(Grundtoleranzen!U43),IF(AND($F$11="X",$F$7=13),(Grundtoleranzen!U43),IF(AND($F$11="X",$F$7=14),(Grundtoleranzen!U43),IF(AND($F$11="X",$F$7=15),(Grundtoleranzen!U43),IF(AND($F$11="X",$F$7=16),(Grundtoleranzen!U43),IF(AND($F$11="X",$F$7=17),(Grundtoleranzen!U43),IF(AND($F$11="X",$F$7=18),(Grundtoleranzen!U43),"Error"))))))))))))))))))</f>
        <v>#REF!</v>
      </c>
      <c r="Z11" s="70" t="e">
        <f>IF(AND($F$11="Z",$F$7=1),(Grundtoleranzen!V43),IF(AND($F$11="Z",$F$7=2),(Grundtoleranzen!V43),IF(AND($F$11="Z",$F$7=3),(Grundtoleranzen!V43)+Grundtoleranzen!$Z43,IF(AND($F$11="Z",$F$7=4),(Grundtoleranzen!V43)+Grundtoleranzen!$AA43,IF(AND($F$11="Z",$F$7=5),(Grundtoleranzen!V43)+Grundtoleranzen!$AB43,IF(AND($F$11="Z",$F$7=6),(Grundtoleranzen!V43)+Grundtoleranzen!$AC43,IF(AND($F$11="Z",$F$7=7),(Grundtoleranzen!V43)+Grundtoleranzen!$AD43,IF(AND($F$11="Z",$F$7=8),(Grundtoleranzen!V43),IF(AND($F$11="Z",$F$7=9),(Grundtoleranzen!V43),IF(AND($F$11="Z",$F$7=10),(Grundtoleranzen!V43),IF(AND($F$11="Z",$F$7=11),(Grundtoleranzen!V43),IF(AND($F$11="Z",$F$7=12),(Grundtoleranzen!V43),IF(AND($F$11="Z",$F$7=13),(Grundtoleranzen!V43),IF(AND($F$11="Z",$F$7=14),(Grundtoleranzen!V43),IF(AND($F$11="Z",$F$7=15),(Grundtoleranzen!V43),IF(AND($F$11="Z",$F$7=16),(Grundtoleranzen!V43),IF(AND($F$11="Z",$F$7=17),(Grundtoleranzen!V43),IF(AND($F$11="Z",$F$7=18),(Grundtoleranzen!V43),"Error"))))))))))))))))))</f>
        <v>#REF!</v>
      </c>
      <c r="AA11" s="70" t="e">
        <f>IF(AND($F$11="ZA",$F$7=1),(Grundtoleranzen!W43),IF(AND($F$11="ZA",$F$7=2),(Grundtoleranzen!W43),IF(AND($F$11="ZA",$F$7=3),(Grundtoleranzen!W43)+Grundtoleranzen!$Z43,IF(AND($F$11="ZA",$F$7=4),(Grundtoleranzen!W43)+Grundtoleranzen!$AA43,IF(AND($F$11="ZA",$F$7=5),(Grundtoleranzen!W43)+Grundtoleranzen!$AB43,IF(AND($F$11="ZA",$F$7=6),(Grundtoleranzen!W43)+Grundtoleranzen!$AC43,IF(AND($F$11="ZA",$F$7=7),(Grundtoleranzen!W43)+Grundtoleranzen!$AD43,IF(AND($F$11="ZA",$F$7=8),(Grundtoleranzen!W43),IF(AND($F$11="ZA",$F$7=9),(Grundtoleranzen!W43),IF(AND($F$11="ZA",$F$7=10),(Grundtoleranzen!W43),IF(AND($F$11="ZA",$F$7=11),(Grundtoleranzen!W43),IF(AND($F$11="ZA",$F$7=12),(Grundtoleranzen!W43),IF(AND($F$11="ZA",$F$7=13),(Grundtoleranzen!W43),IF(AND($F$11="ZA",$F$7=14),(Grundtoleranzen!W43),IF(AND($F$11="ZA",$F$7=15),(Grundtoleranzen!W43),IF(AND($F$11="ZA",$F$7=16),(Grundtoleranzen!W43),IF(AND($F$11="ZA",$F$7=17),(Grundtoleranzen!W43),IF(AND($F$11="ZA",$F$7=18),(Grundtoleranzen!W43),"Error"))))))))))))))))))</f>
        <v>#REF!</v>
      </c>
      <c r="AB11" s="70" t="e">
        <f>IF(AND($F$11="ZB",$F$7=1),(Grundtoleranzen!X43),IF(AND($F$11="ZB",$F$7=2),(Grundtoleranzen!X43),IF(AND($F$11="ZB",$F$7=3),(Grundtoleranzen!X43)+Grundtoleranzen!$Z43,IF(AND($F$11="ZB",$F$7=4),(Grundtoleranzen!X43)+Grundtoleranzen!$AA43,IF(AND($F$11="ZB",$F$7=5),(Grundtoleranzen!X43)+Grundtoleranzen!$AB43,IF(AND($F$11="ZB",$F$7=6),(Grundtoleranzen!X43)+Grundtoleranzen!$AC43,IF(AND($F$11="ZB",$F$7=7),(Grundtoleranzen!X43)+Grundtoleranzen!$AD43,IF(AND($F$11="ZB",$F$7=8),(Grundtoleranzen!X43),IF(AND($F$11="ZB",$F$7=9),(Grundtoleranzen!X43),IF(AND($F$11="ZB",$F$7=10),(Grundtoleranzen!X43),IF(AND($F$11="ZB",$F$7=11),(Grundtoleranzen!X43),IF(AND($F$11="ZB",$F$7=12),(Grundtoleranzen!X43),IF(AND($F$11="ZB",$F$7=13),(Grundtoleranzen!X43),IF(AND($F$11="ZB",$F$7=14),(Grundtoleranzen!X43),IF(AND($F$11="ZB",$F$7=15),(Grundtoleranzen!X43),IF(AND($F$11="ZB",$F$7=16),(Grundtoleranzen!X43),IF(AND($F$11="ZB",$F$7=17),(Grundtoleranzen!X43),IF(AND($F$11="ZB",$F$7=18),(Grundtoleranzen!X43),"Error"))))))))))))))))))</f>
        <v>#REF!</v>
      </c>
      <c r="AC11" s="70" t="e">
        <f>IF(AND($F$11="ZC",$F$7=1),(Grundtoleranzen!Y43),IF(AND($F$11="ZC",$F$7=2),(Grundtoleranzen!Y43),IF(AND($F$11="ZC",$F$7=3),(Grundtoleranzen!Y43)+Grundtoleranzen!$Z43,IF(AND($F$11="ZC",$F$7=4),(Grundtoleranzen!Y43)+Grundtoleranzen!$AA43,IF(AND($F$11="ZC",$F$7=5),(Grundtoleranzen!Y43)+Grundtoleranzen!$AB43,IF(AND($F$11="ZC",$F$7=6),(Grundtoleranzen!Y43)+Grundtoleranzen!$AC43,IF(AND($F$11="ZC",$F$7=7),(Grundtoleranzen!Y43)+Grundtoleranzen!$AD43,IF(AND($F$11="ZC",$F$7=8),(Grundtoleranzen!Y43),IF(AND($F$11="ZC",$F$7=9),(Grundtoleranzen!Y43),IF(AND($F$11="ZC",$F$7=10),(Grundtoleranzen!Y43),IF(AND($F$11="ZC",$F$7=11),(Grundtoleranzen!Y43),IF(AND($F$11="ZC",$F$7=12),(Grundtoleranzen!Y43),IF(AND($F$11="ZC",$F$7=13),(Grundtoleranzen!Y43),IF(AND($F$11="ZC",$F$7=14),(Grundtoleranzen!Y43),IF(AND($F$11="ZC",$F$7=15),(Grundtoleranzen!Y43),IF(AND($F$11="ZC",$F$7=16),(Grundtoleranzen!Y43),IF(AND($F$11="ZC",$F$7=17),(Grundtoleranzen!Y43),IF(AND($F$11="ZC",$F$7=18),(Grundtoleranzen!Y43),"Error"))))))))))))))))))</f>
        <v>#REF!</v>
      </c>
    </row>
    <row r="12" spans="1:29" ht="15.75" thickBot="1" x14ac:dyDescent="0.3">
      <c r="A12" s="66">
        <v>10</v>
      </c>
      <c r="B12" s="66" t="s">
        <v>162</v>
      </c>
      <c r="C12" s="66" t="s">
        <v>103</v>
      </c>
      <c r="E12" s="36" t="s">
        <v>122</v>
      </c>
      <c r="F12" s="37" t="e">
        <f>'Allg.toleranzen DIN ISO 2768'!#REF!</f>
        <v>#REF!</v>
      </c>
      <c r="H12" s="24" t="s">
        <v>77</v>
      </c>
      <c r="I12" s="38" t="e">
        <f>IF(AND(F$7=1),Grundtoleranzen!B13,IF(AND(F$7=2),Grundtoleranzen!C13,IF(AND(F$7=3),Grundtoleranzen!D13,IF(AND(F$7=4),Grundtoleranzen!E13,IF(AND(F$7=5),Grundtoleranzen!F13,IF(AND(F$7=6),Grundtoleranzen!G13,IF(AND(F$7=7),Grundtoleranzen!H13,IF(AND(F$7=8),Grundtoleranzen!I13,IF(AND(F$7=9),Grundtoleranzen!J13,IF(AND(F$7=10),Grundtoleranzen!K13,IF(AND(F$7=11),Grundtoleranzen!L13,IF(AND(F$7=12),Grundtoleranzen!M13,IF(AND(F$7=13),Grundtoleranzen!N13,IF(AND(F$7=14),Grundtoleranzen!O13,IF(AND(F$7=15),Grundtoleranzen!P13,IF(AND(F$7=16),Grundtoleranzen!Q13,IF(AND(F$7=17),Grundtoleranzen!R13,IF(AND(F$7=18),Grundtoleranzen!S13))))))))))))))))))</f>
        <v>#REF!</v>
      </c>
      <c r="K12" s="24" t="s">
        <v>134</v>
      </c>
      <c r="L12" s="68" t="e">
        <f>IF(AND(F$11="C"),Grundtoleranzen!B44,IF(AND(F$11="D"),Grundtoleranzen!C44,IF(AND(F$11="E"),Grundtoleranzen!D44,IF(AND(F$11="F"),Grundtoleranzen!E44,IF(AND(F$11="G"),Grundtoleranzen!F44,IF(AND(F$11="H"),Grundtoleranzen!G44))))))</f>
        <v>#REF!</v>
      </c>
      <c r="M12" s="24" t="s">
        <v>77</v>
      </c>
      <c r="N12" s="70" t="e">
        <f>IF(AND(F$11="JS",F$7=1),(Grundtoleranzen!B13)/2,IF(AND(F$11="JS",F$7=2),(Grundtoleranzen!C13)/2,IF(AND(F$11="JS",F$7=3),(Grundtoleranzen!D13)/2,IF(AND(F$11="JS",F$7=4),(Grundtoleranzen!E13)/2,IF(AND(F$11="JS",F$7=5),(Grundtoleranzen!F13)/2,IF(AND(F$11="JS",F$7=6),(Grundtoleranzen!G13)/2,IF(AND(F$11="JS",F$7=7),(Grundtoleranzen!H13)/2,IF(AND(F$11="JS",F$7=8),(Grundtoleranzen!I13)/2,IF(AND(F$11="JS",F$7=9),(Grundtoleranzen!J13)/2,IF(AND(F$11="JS",F$7=10),(Grundtoleranzen!K13)/2,IF(AND(F$11="JS",F$7=11),(Grundtoleranzen!L13)/2,IF(AND(F$11="JS",F$7=12),(Grundtoleranzen!M13)/2,IF(AND(F$11="JS",F$7=13),(Grundtoleranzen!N13)/2,IF(AND(F$11="JS",F$7=14),(Grundtoleranzen!O13)/2,IF(AND(F$11="JS",F$7=15),(Grundtoleranzen!P13)/2,IF(AND(F$11="JS",F$7=16),(Grundtoleranzen!Q13)/2,IF(AND(F$11="JS",F$7=17),(Grundtoleranzen!R13)/2,IF(AND(F$11="JS",F$7=18),(Grundtoleranzen!S13)/2))))))))))))))))))*-1</f>
        <v>#REF!</v>
      </c>
      <c r="P12" s="70" t="e">
        <f>IF(AND(F$11="J",F$7=6),(Grundtoleranzen!I44),IF(AND(F$11="J",F$7=7),(Grundtoleranzen!J44),IF(AND(F$11="J",F$7=8),(Grundtoleranzen!K44),"Nur IT6-8")))</f>
        <v>#REF!</v>
      </c>
      <c r="Q12" s="83" t="e">
        <f>IF(AND($F$11="K",$F$7=1),(Grundtoleranzen!L44),IF(AND($F$11="K",$F$7=2),(Grundtoleranzen!L44),IF(AND($F$11="K",$F$7=3),(Grundtoleranzen!L44)+Grundtoleranzen!Z44,IF(AND($F$11="K",$F$7=4),(Grundtoleranzen!L44)+Grundtoleranzen!AA44,IF(AND($F$11="K",$F$7=5),(Grundtoleranzen!L44)+Grundtoleranzen!AB44,IF(AND($F$11="K",$F$7=6),(Grundtoleranzen!L44)+Grundtoleranzen!AC44,IF(AND($F$11="K",$F$7=7),(Grundtoleranzen!L44)+Grundtoleranzen!AD44,IF(AND($F$11="K",$F$7=8),(Grundtoleranzen!L44)+Grundtoleranzen!AE44,"Nur IT 1 - 8"))))))))</f>
        <v>#REF!</v>
      </c>
      <c r="R12" s="70" t="e">
        <f>IF(AND($F$11="M",$F$7=1),(Grundtoleranzen!M44),IF(AND($F$11="M",$F$7=2),(Grundtoleranzen!M44),IF(AND($F$11="M",$F$7=3),(Grundtoleranzen!M44)+Grundtoleranzen!$Z44,IF(AND($F$11="M",$F$7=4),(Grundtoleranzen!M44)+Grundtoleranzen!$AA44,IF(AND($F$11="M",$F$7=5),(Grundtoleranzen!M44)+Grundtoleranzen!$AB44,IF(AND($F$11="M",$F$7=6),(Grundtoleranzen!M44)+Grundtoleranzen!$AC44,IF(AND($F$11="M",$F$7=7),(Grundtoleranzen!M44)+Grundtoleranzen!$AD44,IF(AND($F$11="M",$F$7=8),(Grundtoleranzen!M44)+Grundtoleranzen!$AE44,IF(AND($F$11="M",$F$7=9),(Grundtoleranzen!M44),IF(AND($F$11="M",$F$7=10),(Grundtoleranzen!M44),IF(AND($F$11="M",$F$7=11),(Grundtoleranzen!M44),IF(AND($F$11="M",$F$7=12),(Grundtoleranzen!M44),IF(AND($F$11="M",$F$7=13),(Grundtoleranzen!M44),IF(AND($F$11="M",$F$7=14),(Grundtoleranzen!M44),IF(AND($F$11="M",$F$7=15),(Grundtoleranzen!M44),IF(AND($F$11="M",$F$7=16),(Grundtoleranzen!M44),IF(AND($F$11="M",$F$7=17),(Grundtoleranzen!M44),IF(AND($F$11="M",$F$7=18),(Grundtoleranzen!M44),"Error"))))))))))))))))))</f>
        <v>#REF!</v>
      </c>
      <c r="S12" s="70" t="e">
        <f>IF(AND($F$11="N",$F$7=1),(Grundtoleranzen!N44),IF(AND($F$11="N",$F$7=2),(Grundtoleranzen!N44),IF(AND($F$11="N",$F$7=3),(Grundtoleranzen!N44)+Grundtoleranzen!$Z44,IF(AND($F$11="N",$F$7=4),(Grundtoleranzen!N44)+Grundtoleranzen!$AA44,IF(AND($F$11="N",$F$7=5),(Grundtoleranzen!N44)+Grundtoleranzen!$AB44,IF(AND($F$11="N",$F$7=6),(Grundtoleranzen!N44)+Grundtoleranzen!$AC44,IF(AND($F$11="N",$F$7=7),(Grundtoleranzen!N44)+Grundtoleranzen!$AD44,IF(AND($F$11="N",$F$7=8),(Grundtoleranzen!N44)+Grundtoleranzen!$AE44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#REF!</v>
      </c>
      <c r="T12" s="70" t="e">
        <f>IF(AND($F$11="P",$F$7=1),(Grundtoleranzen!P44),IF(AND($F$11="P",$F$7=2),(Grundtoleranzen!P44),IF(AND($F$11="P",$F$7=3),(Grundtoleranzen!P44)+Grundtoleranzen!$Z44,IF(AND($F$11="P",$F$7=4),(Grundtoleranzen!P44)+Grundtoleranzen!$AA44,IF(AND($F$11="P",$F$7=5),(Grundtoleranzen!P44)+Grundtoleranzen!$AB44,IF(AND($F$11="P",$F$7=6),(Grundtoleranzen!P44)+Grundtoleranzen!$AC44,IF(AND($F$11="P",$F$7=7),(Grundtoleranzen!P44)+Grundtoleranzen!$AD44,IF(AND($F$11="P",$F$7=8),(Grundtoleranzen!P44),IF(AND($F$11="P",$F$7=9),(Grundtoleranzen!P44),IF(AND($F$11="P",$F$7=10),(Grundtoleranzen!P44),IF(AND($F$11="P",$F$7=11),(Grundtoleranzen!P44),IF(AND($F$11="P",$F$7=12),(Grundtoleranzen!P44),IF(AND($F$11="P",$F$7=13),(Grundtoleranzen!P44),IF(AND($F$11="P",$F$7=14),(Grundtoleranzen!P44),IF(AND($F$11="P",$F$7=15),(Grundtoleranzen!P44),IF(AND($F$11="P",$F$7=16),(Grundtoleranzen!P44),IF(AND($F$11="P",$F$7=17),(Grundtoleranzen!P44),IF(AND($F$11="P",$F$7=18),(Grundtoleranzen!P44),"Error"))))))))))))))))))</f>
        <v>#REF!</v>
      </c>
      <c r="U12" s="70" t="e">
        <f>IF(AND($F$11="R",$F$7=1),(Grundtoleranzen!Q44),IF(AND($F$11="R",$F$7=2),(Grundtoleranzen!Q44),IF(AND($F$11="R",$F$7=3),(Grundtoleranzen!Q44)+Grundtoleranzen!$Z44,IF(AND($F$11="R",$F$7=4),(Grundtoleranzen!Q44)+Grundtoleranzen!$AA44,IF(AND($F$11="R",$F$7=5),(Grundtoleranzen!Q44)+Grundtoleranzen!$AB44,IF(AND($F$11="R",$F$7=6),(Grundtoleranzen!Q44)+Grundtoleranzen!$AC44,IF(AND($F$11="R",$F$7=7),(Grundtoleranzen!Q44)+Grundtoleranzen!$AD44,IF(AND($F$11="R",$F$7=8),(Grundtoleranzen!Q44)+Grundtoleranzen!$AE44,IF(AND($F$11="R",$F$7=9),(Grundtoleranzen!Q44),IF(AND($F$11="R",$F$7=10),(Grundtoleranzen!Q44),IF(AND($F$11="R",$F$7=11),(Grundtoleranzen!Q44),IF(AND($F$11="R",$F$7=12),(Grundtoleranzen!Q44),IF(AND($F$11="R",$F$7=13),(Grundtoleranzen!Q44),IF(AND($F$11="R",$F$7=14),(Grundtoleranzen!Q44),IF(AND($F$11="R",$F$7=15),(Grundtoleranzen!Q44),IF(AND($F$11="R",$F$7=16),(Grundtoleranzen!Q44),IF(AND($F$11="R",$F$7=17),(Grundtoleranzen!Q44),IF(AND($F$11="R",$F$7=18),(Grundtoleranzen!Q44),"Error"))))))))))))))))))</f>
        <v>#REF!</v>
      </c>
      <c r="V12" s="70" t="e">
        <f>IF(AND($F$11="S",$F$7=1),Grundtoleranzen!R44,IF(AND($F$11="S",$F$7=2),(Grundtoleranzen!R44),IF(AND($F$11="S",$F$7=3),(Grundtoleranzen!R44)+Grundtoleranzen!$Z44,IF(AND($F$11="S",$F$7=4),(Grundtoleranzen!R44)+Grundtoleranzen!$AA44,IF(AND($F$11="S",$F$7=5),(Grundtoleranzen!R44)+Grundtoleranzen!$AB44,IF(AND($F$11="S",$F$7=6),(Grundtoleranzen!R44)+Grundtoleranzen!$AC44,IF(AND($F$11="S",$F$7=7),(Grundtoleranzen!R44)+Grundtoleranzen!$AD44,IF(AND($F$11="S",$F$7=8),(Grundtoleranzen!R44),IF(AND($F$11="S",$F$7=9),(Grundtoleranzen!R44),IF(AND($F$11="S",$F$7=10),(Grundtoleranzen!R44),IF(AND($F$11="S",$F$7=11),(Grundtoleranzen!R44),IF(AND($F$11="S",$F$7=12),(Grundtoleranzen!R44),IF(AND($F$11="S",$F$7=13),(Grundtoleranzen!R44),IF(AND($F$11="S",$F$7=14),(Grundtoleranzen!R44),IF(AND($F$11="S",$F$7=15),(Grundtoleranzen!R44),IF(AND($F$11="S",$F$7=16),(Grundtoleranzen!R44),IF(AND($F$11="S",$F$7=17),(Grundtoleranzen!R44),IF(AND($F$11="S",$F$7=18),(Grundtoleranzen!R44),"Error"))))))))))))))))))</f>
        <v>#REF!</v>
      </c>
      <c r="W12" s="70" t="e">
        <f>IF(AND($F$11="T",$F$7=1),(Grundtoleranzen!S44),IF(AND($F$11="T",$F$7=2),(Grundtoleranzen!S44),IF(AND($F$11="T",$F$7=3),(Grundtoleranzen!S44)+Grundtoleranzen!$Z44,IF(AND($F$11="T",$F$7=4),(Grundtoleranzen!S44)+Grundtoleranzen!$AA44,IF(AND($F$11="T",$F$7=5),(Grundtoleranzen!S44)+Grundtoleranzen!$AB44,IF(AND($F$11="T",$F$7=6),(Grundtoleranzen!S44)+Grundtoleranzen!$AC44,IF(AND($F$11="T",$F$7=7),(Grundtoleranzen!S44)+Grundtoleranzen!$AD44,IF(AND($F$11="T",$F$7=8),(Grundtoleranzen!S44),IF(AND($F$11="T",$F$7=9),(Grundtoleranzen!S44),IF(AND($F$11="T",$F$7=10),(Grundtoleranzen!S44),IF(AND($F$11="T",$F$7=11),(Grundtoleranzen!S44),IF(AND($F$11="T",$F$7=12),(Grundtoleranzen!S44),IF(AND($F$11="T",$F$7=13),(Grundtoleranzen!S44),IF(AND($F$11="T",$F$7=14),(Grundtoleranzen!S44),IF(AND($F$11="T",$F$7=15),(Grundtoleranzen!S44),IF(AND($F$11="T",$F$7=16),(Grundtoleranzen!S44),IF(AND($F$11="T",$F$7=17),(Grundtoleranzen!S44),IF(AND($F$11="T",$F$7=18),(Grundtoleranzen!S44),"Error"))))))))))))))))))</f>
        <v>#REF!</v>
      </c>
      <c r="X12" s="70" t="e">
        <f>IF(AND($F$11="U",$F$7=1),(Grundtoleranzen!T44),IF(AND($F$11="U",$F$7=2),(Grundtoleranzen!T44),IF(AND($F$11="U",$F$7=3),(Grundtoleranzen!T44)+Grundtoleranzen!$Z44,IF(AND($F$11="U",$F$7=4),(Grundtoleranzen!T44)+Grundtoleranzen!$AA44,IF(AND($F$11="U",$F$7=5),(Grundtoleranzen!T44)+Grundtoleranzen!$AB44,IF(AND($F$11="U",$F$7=6),(Grundtoleranzen!T44)+Grundtoleranzen!$AC44,IF(AND($F$11="U",$F$7=7),(Grundtoleranzen!T44)+Grundtoleranzen!$AD44,IF(AND($F$11="U",$F$7=8),(Grundtoleranzen!T44),IF(AND($F$11="U",$F$7=9),(Grundtoleranzen!T44),IF(AND($F$11="U",$F$7=10),(Grundtoleranzen!T44),IF(AND($F$11="U",$F$7=11),(Grundtoleranzen!T44),IF(AND($F$11="U",$F$7=12),(Grundtoleranzen!T44),IF(AND($F$11="U",$F$7=13),(Grundtoleranzen!T44),IF(AND($F$11="U",$F$7=14),(Grundtoleranzen!T44),IF(AND($F$11="U",$F$7=15),(Grundtoleranzen!T44),IF(AND($F$11="U",$F$7=16),(Grundtoleranzen!T44),IF(AND($F$11="U",$F$7=17),(Grundtoleranzen!T44),IF(AND($F$11="U",$F$7=18),(Grundtoleranzen!T44),"Error"))))))))))))))))))</f>
        <v>#REF!</v>
      </c>
      <c r="Y12" s="70" t="e">
        <f>IF(AND($F$11="X",$F$7=1),(Grundtoleranzen!U44),IF(AND($F$11="X",$F$7=2),(Grundtoleranzen!U44),IF(AND($F$11="X",$F$7=3),(Grundtoleranzen!U44)+Grundtoleranzen!$Z44,IF(AND($F$11="X",$F$7=4),(Grundtoleranzen!U44)+Grundtoleranzen!$AA44,IF(AND($F$11="X",$F$7=5),(Grundtoleranzen!U44)+Grundtoleranzen!$AB44,IF(AND($F$11="X",$F$7=6),(Grundtoleranzen!U44)+Grundtoleranzen!$AC44,IF(AND($F$11="X",$F$7=7),(Grundtoleranzen!U44)+Grundtoleranzen!$AD44,IF(AND($F$11="X",$F$7=8),(Grundtoleranzen!U44)+Grundtoleranzen!$AE44,IF(AND($F$11="X",$F$7=9),(Grundtoleranzen!U44),IF(AND($F$11="X",$F$7=10),(Grundtoleranzen!U44),IF(AND($F$11="X",$F$7=11),(Grundtoleranzen!U44),IF(AND($F$11="X",$F$7=12),(Grundtoleranzen!U44),IF(AND($F$11="X",$F$7=13),(Grundtoleranzen!U44),IF(AND($F$11="X",$F$7=14),(Grundtoleranzen!U44),IF(AND($F$11="X",$F$7=15),(Grundtoleranzen!U44),IF(AND($F$11="X",$F$7=16),(Grundtoleranzen!U44),IF(AND($F$11="X",$F$7=17),(Grundtoleranzen!U44),IF(AND($F$11="X",$F$7=18),(Grundtoleranzen!U44),"Error"))))))))))))))))))</f>
        <v>#REF!</v>
      </c>
      <c r="Z12" s="70" t="e">
        <f>IF(AND($F$11="Z",$F$7=1),(Grundtoleranzen!V44),IF(AND($F$11="Z",$F$7=2),(Grundtoleranzen!V44),IF(AND($F$11="Z",$F$7=3),(Grundtoleranzen!V44)+Grundtoleranzen!$Z44,IF(AND($F$11="Z",$F$7=4),(Grundtoleranzen!V44)+Grundtoleranzen!$AA44,IF(AND($F$11="Z",$F$7=5),(Grundtoleranzen!V44)+Grundtoleranzen!$AB44,IF(AND($F$11="Z",$F$7=6),(Grundtoleranzen!V44)+Grundtoleranzen!$AC44,IF(AND($F$11="Z",$F$7=7),(Grundtoleranzen!V44)+Grundtoleranzen!$AD44,IF(AND($F$11="Z",$F$7=8),(Grundtoleranzen!V44),IF(AND($F$11="Z",$F$7=9),(Grundtoleranzen!V44),IF(AND($F$11="Z",$F$7=10),(Grundtoleranzen!V44),IF(AND($F$11="Z",$F$7=11),(Grundtoleranzen!V44),IF(AND($F$11="Z",$F$7=12),(Grundtoleranzen!V44),IF(AND($F$11="Z",$F$7=13),(Grundtoleranzen!V44),IF(AND($F$11="Z",$F$7=14),(Grundtoleranzen!V44),IF(AND($F$11="Z",$F$7=15),(Grundtoleranzen!V44),IF(AND($F$11="Z",$F$7=16),(Grundtoleranzen!V44),IF(AND($F$11="Z",$F$7=17),(Grundtoleranzen!V44),IF(AND($F$11="Z",$F$7=18),(Grundtoleranzen!V44),"Error"))))))))))))))))))</f>
        <v>#REF!</v>
      </c>
      <c r="AA12" s="70" t="e">
        <f>IF(AND($F$11="ZA",$F$7=1),(Grundtoleranzen!W44),IF(AND($F$11="ZA",$F$7=2),(Grundtoleranzen!W44),IF(AND($F$11="ZA",$F$7=3),(Grundtoleranzen!W44)+Grundtoleranzen!$Z44,IF(AND($F$11="ZA",$F$7=4),(Grundtoleranzen!W44)+Grundtoleranzen!$AA44,IF(AND($F$11="ZA",$F$7=5),(Grundtoleranzen!W44)+Grundtoleranzen!$AB44,IF(AND($F$11="ZA",$F$7=6),(Grundtoleranzen!W44)+Grundtoleranzen!$AC44,IF(AND($F$11="ZA",$F$7=7),(Grundtoleranzen!W44)+Grundtoleranzen!$AD44,IF(AND($F$11="ZA",$F$7=8),(Grundtoleranzen!W44),IF(AND($F$11="ZA",$F$7=9),(Grundtoleranzen!W44),IF(AND($F$11="ZA",$F$7=10),(Grundtoleranzen!W44),IF(AND($F$11="ZA",$F$7=11),(Grundtoleranzen!W44),IF(AND($F$11="ZA",$F$7=12),(Grundtoleranzen!W44),IF(AND($F$11="ZA",$F$7=13),(Grundtoleranzen!W44),IF(AND($F$11="ZA",$F$7=14),(Grundtoleranzen!W44),IF(AND($F$11="ZA",$F$7=15),(Grundtoleranzen!W44),IF(AND($F$11="ZA",$F$7=16),(Grundtoleranzen!W44),IF(AND($F$11="ZA",$F$7=17),(Grundtoleranzen!W44),IF(AND($F$11="ZA",$F$7=18),(Grundtoleranzen!W44),"Error"))))))))))))))))))</f>
        <v>#REF!</v>
      </c>
      <c r="AB12" s="70" t="e">
        <f>IF(AND($F$11="ZB",$F$7=1),(Grundtoleranzen!X44),IF(AND($F$11="ZB",$F$7=2),(Grundtoleranzen!X44),IF(AND($F$11="ZB",$F$7=3),(Grundtoleranzen!X44)+Grundtoleranzen!$Z44,IF(AND($F$11="ZB",$F$7=4),(Grundtoleranzen!X44)+Grundtoleranzen!$AA44,IF(AND($F$11="ZB",$F$7=5),(Grundtoleranzen!X44)+Grundtoleranzen!$AB44,IF(AND($F$11="ZB",$F$7=6),(Grundtoleranzen!X44)+Grundtoleranzen!$AC44,IF(AND($F$11="ZB",$F$7=7),(Grundtoleranzen!X44)+Grundtoleranzen!$AD44,IF(AND($F$11="ZB",$F$7=8),(Grundtoleranzen!X44),IF(AND($F$11="ZB",$F$7=9),(Grundtoleranzen!X44),IF(AND($F$11="ZB",$F$7=10),(Grundtoleranzen!X44),IF(AND($F$11="ZB",$F$7=11),(Grundtoleranzen!X44),IF(AND($F$11="ZB",$F$7=12),(Grundtoleranzen!X44),IF(AND($F$11="ZB",$F$7=13),(Grundtoleranzen!X44),IF(AND($F$11="ZB",$F$7=14),(Grundtoleranzen!X44),IF(AND($F$11="ZB",$F$7=15),(Grundtoleranzen!X44),IF(AND($F$11="ZB",$F$7=16),(Grundtoleranzen!X44),IF(AND($F$11="ZB",$F$7=17),(Grundtoleranzen!X44),IF(AND($F$11="ZB",$F$7=18),(Grundtoleranzen!X44),"Error"))))))))))))))))))</f>
        <v>#REF!</v>
      </c>
      <c r="AC12" s="70" t="e">
        <f>IF(AND($F$11="ZC",$F$7=1),(Grundtoleranzen!Y44),IF(AND($F$11="ZC",$F$7=2),(Grundtoleranzen!Y44),IF(AND($F$11="ZC",$F$7=3),(Grundtoleranzen!Y44)+Grundtoleranzen!$Z44,IF(AND($F$11="ZC",$F$7=4),(Grundtoleranzen!Y44)+Grundtoleranzen!$AA44,IF(AND($F$11="ZC",$F$7=5),(Grundtoleranzen!Y44)+Grundtoleranzen!$AB44,IF(AND($F$11="ZC",$F$7=6),(Grundtoleranzen!Y44)+Grundtoleranzen!$AC44,IF(AND($F$11="ZC",$F$7=7),(Grundtoleranzen!Y44)+Grundtoleranzen!$AD44,IF(AND($F$11="ZC",$F$7=8),(Grundtoleranzen!Y44),IF(AND($F$11="ZC",$F$7=9),(Grundtoleranzen!Y44),IF(AND($F$11="ZC",$F$7=10),(Grundtoleranzen!Y44),IF(AND($F$11="ZC",$F$7=11),(Grundtoleranzen!Y44),IF(AND($F$11="ZC",$F$7=12),(Grundtoleranzen!Y44),IF(AND($F$11="ZC",$F$7=13),(Grundtoleranzen!Y44),IF(AND($F$11="ZC",$F$7=14),(Grundtoleranzen!Y44),IF(AND($F$11="ZC",$F$7=15),(Grundtoleranzen!Y44),IF(AND($F$11="ZC",$F$7=16),(Grundtoleranzen!Y44),IF(AND($F$11="ZC",$F$7=17),(Grundtoleranzen!Y44),IF(AND($F$11="ZC",$F$7=18),(Grundtoleranzen!Y44),"Error"))))))))))))))))))</f>
        <v>#REF!</v>
      </c>
    </row>
    <row r="13" spans="1:29" ht="15.75" thickBot="1" x14ac:dyDescent="0.3">
      <c r="A13" s="66">
        <v>11</v>
      </c>
      <c r="B13" s="66" t="s">
        <v>95</v>
      </c>
      <c r="C13" s="66" t="s">
        <v>104</v>
      </c>
      <c r="H13" s="24" t="s">
        <v>78</v>
      </c>
      <c r="I13" s="38" t="e">
        <f>IF(AND(F$7=1),Grundtoleranzen!B14,IF(AND(F$7=2),Grundtoleranzen!C14,IF(AND(F$7=3),Grundtoleranzen!D14,IF(AND(F$7=4),Grundtoleranzen!E14,IF(AND(F$7=5),Grundtoleranzen!F14,IF(AND(F$7=6),Grundtoleranzen!G14,IF(AND(F$7=7),Grundtoleranzen!H14,IF(AND(F$7=8),Grundtoleranzen!I14,IF(AND(F$7=9),Grundtoleranzen!J14,IF(AND(F$7=10),Grundtoleranzen!K14,IF(AND(F$7=11),Grundtoleranzen!L14,IF(AND(F$7=12),Grundtoleranzen!M14,IF(AND(F$7=13),Grundtoleranzen!N14,IF(AND(F$7=14),Grundtoleranzen!O14,IF(AND(F$7=15),Grundtoleranzen!P14,IF(AND(F$7=16),Grundtoleranzen!Q14,IF(AND(F$7=17),Grundtoleranzen!R14,IF(AND(F$7=18),Grundtoleranzen!S14))))))))))))))))))</f>
        <v>#REF!</v>
      </c>
      <c r="K13" s="24" t="s">
        <v>135</v>
      </c>
      <c r="L13" s="68" t="e">
        <f>IF(AND(F$11="C"),Grundtoleranzen!B45,IF(AND(F$11="D"),Grundtoleranzen!C45,IF(AND(F$11="E"),Grundtoleranzen!D45,IF(AND(F$11="F"),Grundtoleranzen!E45,IF(AND(F$11="G"),Grundtoleranzen!F45,IF(AND(F$11="H"),Grundtoleranzen!G45))))))</f>
        <v>#REF!</v>
      </c>
      <c r="M13" s="24" t="s">
        <v>78</v>
      </c>
      <c r="N13" s="70" t="e">
        <f>IF(AND(F$11="JS",F$7=1),(Grundtoleranzen!B14)/2,IF(AND(F$11="JS",F$7=2),(Grundtoleranzen!C14)/2,IF(AND(F$11="JS",F$7=3),(Grundtoleranzen!D14)/2,IF(AND(F$11="JS",F$7=4),(Grundtoleranzen!E14)/2,IF(AND(F$11="JS",F$7=5),(Grundtoleranzen!F14)/2,IF(AND(F$11="JS",F$7=6),(Grundtoleranzen!G14)/2,IF(AND(F$11="JS",F$7=7),(Grundtoleranzen!H14)/2,IF(AND(F$11="JS",F$7=8),(Grundtoleranzen!I14)/2,IF(AND(F$11="JS",F$7=9),(Grundtoleranzen!J14)/2,IF(AND(F$11="JS",F$7=10),(Grundtoleranzen!K14)/2,IF(AND(F$11="JS",F$7=11),(Grundtoleranzen!L14)/2,IF(AND(F$11="JS",F$7=12),(Grundtoleranzen!M14)/2,IF(AND(F$11="JS",F$7=13),(Grundtoleranzen!N14)/2,IF(AND(F$11="JS",F$7=14),(Grundtoleranzen!O14)/2,IF(AND(F$11="JS",F$7=15),(Grundtoleranzen!P14)/2,IF(AND(F$11="JS",F$7=16),(Grundtoleranzen!Q14)/2,IF(AND(F$11="JS",F$7=17),(Grundtoleranzen!R14)/2,IF(AND(F$11="JS",F$7=18),(Grundtoleranzen!S14)/2))))))))))))))))))*-1</f>
        <v>#REF!</v>
      </c>
      <c r="P13" s="70" t="e">
        <f>IF(AND(F$11="J",F$7=6),(Grundtoleranzen!I45),IF(AND(F$11="J",F$7=7),(Grundtoleranzen!J45),IF(AND(F$11="J",F$7=8),(Grundtoleranzen!K45),"Nur IT6-8")))</f>
        <v>#REF!</v>
      </c>
      <c r="Q13" s="83" t="e">
        <f>IF(AND($F$11="K",$F$7=1),(Grundtoleranzen!L45),IF(AND($F$11="K",$F$7=2),(Grundtoleranzen!L45),IF(AND($F$11="K",$F$7=3),(Grundtoleranzen!L45)+Grundtoleranzen!Z45,IF(AND($F$11="K",$F$7=4),(Grundtoleranzen!L45)+Grundtoleranzen!AA45,IF(AND($F$11="K",$F$7=5),(Grundtoleranzen!L45)+Grundtoleranzen!AB45,IF(AND($F$11="K",$F$7=6),(Grundtoleranzen!L45)+Grundtoleranzen!AC45,IF(AND($F$11="K",$F$7=7),(Grundtoleranzen!L45)+Grundtoleranzen!AD45,IF(AND($F$11="K",$F$7=8),(Grundtoleranzen!L45)+Grundtoleranzen!AE45,"Nur IT 1 - 8"))))))))</f>
        <v>#REF!</v>
      </c>
      <c r="R13" s="70" t="e">
        <f>IF(AND($F$11="M",$F$7=1),(Grundtoleranzen!M45),IF(AND($F$11="M",$F$7=2),(Grundtoleranzen!M45),IF(AND($F$11="M",$F$7=3),(Grundtoleranzen!M45)+Grundtoleranzen!$Z45,IF(AND($F$11="M",$F$7=4),(Grundtoleranzen!M45)+Grundtoleranzen!$AA45,IF(AND($F$11="M",$F$7=5),(Grundtoleranzen!M45)+Grundtoleranzen!$AB45,IF(AND($F$11="M",$F$7=6),(Grundtoleranzen!M45)+Grundtoleranzen!$AC45,IF(AND($F$11="M",$F$7=7),(Grundtoleranzen!M45)+Grundtoleranzen!$AD45,IF(AND($F$11="M",$F$7=8),(Grundtoleranzen!M45)+Grundtoleranzen!$AE45,IF(AND($F$11="M",$F$7=9),(Grundtoleranzen!M45),IF(AND($F$11="M",$F$7=10),(Grundtoleranzen!M45),IF(AND($F$11="M",$F$7=11),(Grundtoleranzen!M45),IF(AND($F$11="M",$F$7=12),(Grundtoleranzen!M45),IF(AND($F$11="M",$F$7=13),(Grundtoleranzen!M45),IF(AND($F$11="M",$F$7=14),(Grundtoleranzen!M45),IF(AND($F$11="M",$F$7=15),(Grundtoleranzen!M45),IF(AND($F$11="M",$F$7=16),(Grundtoleranzen!M45),IF(AND($F$11="M",$F$7=17),(Grundtoleranzen!M45),IF(AND($F$11="M",$F$7=18),(Grundtoleranzen!M45),"Error"))))))))))))))))))</f>
        <v>#REF!</v>
      </c>
      <c r="S13" s="70" t="e">
        <f>IF(AND($F$11="N",$F$7=1),(Grundtoleranzen!N45),IF(AND($F$11="N",$F$7=2),(Grundtoleranzen!N45),IF(AND($F$11="N",$F$7=3),(Grundtoleranzen!N45)+Grundtoleranzen!$Z45,IF(AND($F$11="N",$F$7=4),(Grundtoleranzen!N45)+Grundtoleranzen!$AA45,IF(AND($F$11="N",$F$7=5),(Grundtoleranzen!N45)+Grundtoleranzen!$AB45,IF(AND($F$11="N",$F$7=6),(Grundtoleranzen!N45)+Grundtoleranzen!$AC45,IF(AND($F$11="N",$F$7=7),(Grundtoleranzen!N45)+Grundtoleranzen!$AD45,IF(AND($F$11="N",$F$7=8),(Grundtoleranzen!N45)+Grundtoleranzen!$AE45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#REF!</v>
      </c>
      <c r="T13" s="70" t="e">
        <f>IF(AND($F$11="P",$F$7=1),(Grundtoleranzen!P45),IF(AND($F$11="P",$F$7=2),(Grundtoleranzen!P45),IF(AND($F$11="P",$F$7=3),(Grundtoleranzen!P45)+Grundtoleranzen!$Z45,IF(AND($F$11="P",$F$7=4),(Grundtoleranzen!P45)+Grundtoleranzen!$AA45,IF(AND($F$11="P",$F$7=5),(Grundtoleranzen!P45)+Grundtoleranzen!$AB45,IF(AND($F$11="P",$F$7=6),(Grundtoleranzen!P45)+Grundtoleranzen!$AC45,IF(AND($F$11="P",$F$7=7),(Grundtoleranzen!P45)+Grundtoleranzen!$AD45,IF(AND($F$11="P",$F$7=8),(Grundtoleranzen!P45),IF(AND($F$11="P",$F$7=9),(Grundtoleranzen!P45),IF(AND($F$11="P",$F$7=10),(Grundtoleranzen!P45),IF(AND($F$11="P",$F$7=11),(Grundtoleranzen!P45),IF(AND($F$11="P",$F$7=12),(Grundtoleranzen!P45),IF(AND($F$11="P",$F$7=13),(Grundtoleranzen!P45),IF(AND($F$11="P",$F$7=14),(Grundtoleranzen!P45),IF(AND($F$11="P",$F$7=15),(Grundtoleranzen!P45),IF(AND($F$11="P",$F$7=16),(Grundtoleranzen!P45),IF(AND($F$11="P",$F$7=17),(Grundtoleranzen!P45),IF(AND($F$11="P",$F$7=18),(Grundtoleranzen!P45),"Error"))))))))))))))))))</f>
        <v>#REF!</v>
      </c>
      <c r="U13" s="70" t="e">
        <f>IF(AND($F$11="R",$F$7=1),(Grundtoleranzen!Q45),IF(AND($F$11="R",$F$7=2),(Grundtoleranzen!Q45),IF(AND($F$11="R",$F$7=3),(Grundtoleranzen!Q45)+Grundtoleranzen!$Z45,IF(AND($F$11="R",$F$7=4),(Grundtoleranzen!Q45)+Grundtoleranzen!$AA45,IF(AND($F$11="R",$F$7=5),(Grundtoleranzen!Q45)+Grundtoleranzen!$AB45,IF(AND($F$11="R",$F$7=6),(Grundtoleranzen!Q45)+Grundtoleranzen!$AC45,IF(AND($F$11="R",$F$7=7),(Grundtoleranzen!Q45)+Grundtoleranzen!$AD45,IF(AND($F$11="R",$F$7=8),(Grundtoleranzen!Q45)+Grundtoleranzen!$AE45,IF(AND($F$11="R",$F$7=9),(Grundtoleranzen!Q45),IF(AND($F$11="R",$F$7=10),(Grundtoleranzen!Q45),IF(AND($F$11="R",$F$7=11),(Grundtoleranzen!Q45),IF(AND($F$11="R",$F$7=12),(Grundtoleranzen!Q45),IF(AND($F$11="R",$F$7=13),(Grundtoleranzen!Q45),IF(AND($F$11="R",$F$7=14),(Grundtoleranzen!Q45),IF(AND($F$11="R",$F$7=15),(Grundtoleranzen!Q45),IF(AND($F$11="R",$F$7=16),(Grundtoleranzen!Q45),IF(AND($F$11="R",$F$7=17),(Grundtoleranzen!Q45),IF(AND($F$11="R",$F$7=18),(Grundtoleranzen!Q45),"Error"))))))))))))))))))</f>
        <v>#REF!</v>
      </c>
      <c r="V13" s="70" t="e">
        <f>IF(AND($F$11="S",$F$7=1),Grundtoleranzen!R45,IF(AND($F$11="S",$F$7=2),(Grundtoleranzen!R45),IF(AND($F$11="S",$F$7=3),(Grundtoleranzen!R45)+Grundtoleranzen!$Z45,IF(AND($F$11="S",$F$7=4),(Grundtoleranzen!R45)+Grundtoleranzen!$AA45,IF(AND($F$11="S",$F$7=5),(Grundtoleranzen!R45)+Grundtoleranzen!$AB45,IF(AND($F$11="S",$F$7=6),(Grundtoleranzen!R45)+Grundtoleranzen!$AC45,IF(AND($F$11="S",$F$7=7),(Grundtoleranzen!R45)+Grundtoleranzen!$AD45,IF(AND($F$11="S",$F$7=8),(Grundtoleranzen!R45),IF(AND($F$11="S",$F$7=9),(Grundtoleranzen!R45),IF(AND($F$11="S",$F$7=10),(Grundtoleranzen!R45),IF(AND($F$11="S",$F$7=11),(Grundtoleranzen!R45),IF(AND($F$11="S",$F$7=12),(Grundtoleranzen!R45),IF(AND($F$11="S",$F$7=13),(Grundtoleranzen!R45),IF(AND($F$11="S",$F$7=14),(Grundtoleranzen!R45),IF(AND($F$11="S",$F$7=15),(Grundtoleranzen!R45),IF(AND($F$11="S",$F$7=16),(Grundtoleranzen!R45),IF(AND($F$11="S",$F$7=17),(Grundtoleranzen!R45),IF(AND($F$11="S",$F$7=18),(Grundtoleranzen!R45),"Error"))))))))))))))))))</f>
        <v>#REF!</v>
      </c>
      <c r="W13" s="70" t="e">
        <f>IF(AND($F$11="T",$F$7=1),(Grundtoleranzen!S45),IF(AND($F$11="T",$F$7=2),(Grundtoleranzen!S45),IF(AND($F$11="T",$F$7=3),(Grundtoleranzen!S45)+Grundtoleranzen!$Z45,IF(AND($F$11="T",$F$7=4),(Grundtoleranzen!S45)+Grundtoleranzen!$AA45,IF(AND($F$11="T",$F$7=5),(Grundtoleranzen!S45)+Grundtoleranzen!$AB45,IF(AND($F$11="T",$F$7=6),(Grundtoleranzen!S45)+Grundtoleranzen!$AC45,IF(AND($F$11="T",$F$7=7),(Grundtoleranzen!S45)+Grundtoleranzen!$AD45,IF(AND($F$11="T",$F$7=8),(Grundtoleranzen!S45),IF(AND($F$11="T",$F$7=9),(Grundtoleranzen!S45),IF(AND($F$11="T",$F$7=10),(Grundtoleranzen!S45),IF(AND($F$11="T",$F$7=11),(Grundtoleranzen!S45),IF(AND($F$11="T",$F$7=12),(Grundtoleranzen!S45),IF(AND($F$11="T",$F$7=13),(Grundtoleranzen!S45),IF(AND($F$11="T",$F$7=14),(Grundtoleranzen!S45),IF(AND($F$11="T",$F$7=15),(Grundtoleranzen!S45),IF(AND($F$11="T",$F$7=16),(Grundtoleranzen!S45),IF(AND($F$11="T",$F$7=17),(Grundtoleranzen!S45),IF(AND($F$11="T",$F$7=18),(Grundtoleranzen!S45),"Error"))))))))))))))))))</f>
        <v>#REF!</v>
      </c>
      <c r="X13" s="70" t="e">
        <f>IF(AND($F$11="U",$F$7=1),(Grundtoleranzen!T45),IF(AND($F$11="U",$F$7=2),(Grundtoleranzen!T45),IF(AND($F$11="U",$F$7=3),(Grundtoleranzen!T45)+Grundtoleranzen!$Z45,IF(AND($F$11="U",$F$7=4),(Grundtoleranzen!T45)+Grundtoleranzen!$AA45,IF(AND($F$11="U",$F$7=5),(Grundtoleranzen!T45)+Grundtoleranzen!$AB45,IF(AND($F$11="U",$F$7=6),(Grundtoleranzen!T45)+Grundtoleranzen!$AC45,IF(AND($F$11="U",$F$7=7),(Grundtoleranzen!T45)+Grundtoleranzen!$AD45,IF(AND($F$11="U",$F$7=8),(Grundtoleranzen!T45),IF(AND($F$11="U",$F$7=9),(Grundtoleranzen!T45),IF(AND($F$11="U",$F$7=10),(Grundtoleranzen!T45),IF(AND($F$11="U",$F$7=11),(Grundtoleranzen!T45),IF(AND($F$11="U",$F$7=12),(Grundtoleranzen!T45),IF(AND($F$11="U",$F$7=13),(Grundtoleranzen!T45),IF(AND($F$11="U",$F$7=14),(Grundtoleranzen!T45),IF(AND($F$11="U",$F$7=15),(Grundtoleranzen!T45),IF(AND($F$11="U",$F$7=16),(Grundtoleranzen!T45),IF(AND($F$11="U",$F$7=17),(Grundtoleranzen!T45),IF(AND($F$11="U",$F$7=18),(Grundtoleranzen!T45),"Error"))))))))))))))))))</f>
        <v>#REF!</v>
      </c>
      <c r="Y13" s="70" t="e">
        <f>IF(AND($F$11="X",$F$7=1),(Grundtoleranzen!U45),IF(AND($F$11="X",$F$7=2),(Grundtoleranzen!U45),IF(AND($F$11="X",$F$7=3),(Grundtoleranzen!U45)+Grundtoleranzen!$Z45,IF(AND($F$11="X",$F$7=4),(Grundtoleranzen!U45)+Grundtoleranzen!$AA45,IF(AND($F$11="X",$F$7=5),(Grundtoleranzen!U45)+Grundtoleranzen!$AB45,IF(AND($F$11="X",$F$7=6),(Grundtoleranzen!U45)+Grundtoleranzen!$AC45,IF(AND($F$11="X",$F$7=7),(Grundtoleranzen!U45)+Grundtoleranzen!$AD45,IF(AND($F$11="X",$F$7=8),(Grundtoleranzen!U45)+Grundtoleranzen!$AE45,IF(AND($F$11="X",$F$7=9),(Grundtoleranzen!U45),IF(AND($F$11="X",$F$7=10),(Grundtoleranzen!U45),IF(AND($F$11="X",$F$7=11),(Grundtoleranzen!U45),IF(AND($F$11="X",$F$7=12),(Grundtoleranzen!U45),IF(AND($F$11="X",$F$7=13),(Grundtoleranzen!U45),IF(AND($F$11="X",$F$7=14),(Grundtoleranzen!U45),IF(AND($F$11="X",$F$7=15),(Grundtoleranzen!U45),IF(AND($F$11="X",$F$7=16),(Grundtoleranzen!U45),IF(AND($F$11="X",$F$7=17),(Grundtoleranzen!U45),IF(AND($F$11="X",$F$7=18),(Grundtoleranzen!U45),"Error"))))))))))))))))))</f>
        <v>#REF!</v>
      </c>
      <c r="Z13" s="70" t="e">
        <f>IF(AND($F$11="Z",$F$7=1),(Grundtoleranzen!V45),IF(AND($F$11="Z",$F$7=2),(Grundtoleranzen!V45),IF(AND($F$11="Z",$F$7=3),(Grundtoleranzen!V45)+Grundtoleranzen!$Z45,IF(AND($F$11="Z",$F$7=4),(Grundtoleranzen!V45)+Grundtoleranzen!$AA45,IF(AND($F$11="Z",$F$7=5),(Grundtoleranzen!V45)+Grundtoleranzen!$AB45,IF(AND($F$11="Z",$F$7=6),(Grundtoleranzen!V45)+Grundtoleranzen!$AC45,IF(AND($F$11="Z",$F$7=7),(Grundtoleranzen!V45)+Grundtoleranzen!$AD45,IF(AND($F$11="Z",$F$7=8),(Grundtoleranzen!V45),IF(AND($F$11="Z",$F$7=9),(Grundtoleranzen!V45),IF(AND($F$11="Z",$F$7=10),(Grundtoleranzen!V45),IF(AND($F$11="Z",$F$7=11),(Grundtoleranzen!V45),IF(AND($F$11="Z",$F$7=12),(Grundtoleranzen!V45),IF(AND($F$11="Z",$F$7=13),(Grundtoleranzen!V45),IF(AND($F$11="Z",$F$7=14),(Grundtoleranzen!V45),IF(AND($F$11="Z",$F$7=15),(Grundtoleranzen!V45),IF(AND($F$11="Z",$F$7=16),(Grundtoleranzen!V45),IF(AND($F$11="Z",$F$7=17),(Grundtoleranzen!V45),IF(AND($F$11="Z",$F$7=18),(Grundtoleranzen!V45),"Error"))))))))))))))))))</f>
        <v>#REF!</v>
      </c>
      <c r="AA13" s="70" t="e">
        <f>IF(AND($F$11="ZA",$F$7=1),(Grundtoleranzen!W45),IF(AND($F$11="ZA",$F$7=2),(Grundtoleranzen!W45),IF(AND($F$11="ZA",$F$7=3),(Grundtoleranzen!W45)+Grundtoleranzen!$Z45,IF(AND($F$11="ZA",$F$7=4),(Grundtoleranzen!W45)+Grundtoleranzen!$AA45,IF(AND($F$11="ZA",$F$7=5),(Grundtoleranzen!W45)+Grundtoleranzen!$AB45,IF(AND($F$11="ZA",$F$7=6),(Grundtoleranzen!W45)+Grundtoleranzen!$AC45,IF(AND($F$11="ZA",$F$7=7),(Grundtoleranzen!W45)+Grundtoleranzen!$AD45,IF(AND($F$11="ZA",$F$7=8),(Grundtoleranzen!W45),IF(AND($F$11="ZA",$F$7=9),(Grundtoleranzen!W45),IF(AND($F$11="ZA",$F$7=10),(Grundtoleranzen!W45),IF(AND($F$11="ZA",$F$7=11),(Grundtoleranzen!W45),IF(AND($F$11="ZA",$F$7=12),(Grundtoleranzen!W45),IF(AND($F$11="ZA",$F$7=13),(Grundtoleranzen!W45),IF(AND($F$11="ZA",$F$7=14),(Grundtoleranzen!W45),IF(AND($F$11="ZA",$F$7=15),(Grundtoleranzen!W45),IF(AND($F$11="ZA",$F$7=16),(Grundtoleranzen!W45),IF(AND($F$11="ZA",$F$7=17),(Grundtoleranzen!W45),IF(AND($F$11="ZA",$F$7=18),(Grundtoleranzen!W45),"Error"))))))))))))))))))</f>
        <v>#REF!</v>
      </c>
      <c r="AB13" s="70" t="e">
        <f>IF(AND($F$11="ZB",$F$7=1),(Grundtoleranzen!X45),IF(AND($F$11="ZB",$F$7=2),(Grundtoleranzen!X45),IF(AND($F$11="ZB",$F$7=3),(Grundtoleranzen!X45)+Grundtoleranzen!$Z45,IF(AND($F$11="ZB",$F$7=4),(Grundtoleranzen!X45)+Grundtoleranzen!$AA45,IF(AND($F$11="ZB",$F$7=5),(Grundtoleranzen!X45)+Grundtoleranzen!$AB45,IF(AND($F$11="ZB",$F$7=6),(Grundtoleranzen!X45)+Grundtoleranzen!$AC45,IF(AND($F$11="ZB",$F$7=7),(Grundtoleranzen!X45)+Grundtoleranzen!$AD45,IF(AND($F$11="ZB",$F$7=8),(Grundtoleranzen!X45),IF(AND($F$11="ZB",$F$7=9),(Grundtoleranzen!X45),IF(AND($F$11="ZB",$F$7=10),(Grundtoleranzen!X45),IF(AND($F$11="ZB",$F$7=11),(Grundtoleranzen!X45),IF(AND($F$11="ZB",$F$7=12),(Grundtoleranzen!X45),IF(AND($F$11="ZB",$F$7=13),(Grundtoleranzen!X45),IF(AND($F$11="ZB",$F$7=14),(Grundtoleranzen!X45),IF(AND($F$11="ZB",$F$7=15),(Grundtoleranzen!X45),IF(AND($F$11="ZB",$F$7=16),(Grundtoleranzen!X45),IF(AND($F$11="ZB",$F$7=17),(Grundtoleranzen!X45),IF(AND($F$11="ZB",$F$7=18),(Grundtoleranzen!X45),"Error"))))))))))))))))))</f>
        <v>#REF!</v>
      </c>
      <c r="AC13" s="70" t="e">
        <f>IF(AND($F$11="ZC",$F$7=1),(Grundtoleranzen!Y45),IF(AND($F$11="ZC",$F$7=2),(Grundtoleranzen!Y45),IF(AND($F$11="ZC",$F$7=3),(Grundtoleranzen!Y45)+Grundtoleranzen!$Z45,IF(AND($F$11="ZC",$F$7=4),(Grundtoleranzen!Y45)+Grundtoleranzen!$AA45,IF(AND($F$11="ZC",$F$7=5),(Grundtoleranzen!Y45)+Grundtoleranzen!$AB45,IF(AND($F$11="ZC",$F$7=6),(Grundtoleranzen!Y45)+Grundtoleranzen!$AC45,IF(AND($F$11="ZC",$F$7=7),(Grundtoleranzen!Y45)+Grundtoleranzen!$AD45,IF(AND($F$11="ZC",$F$7=8),(Grundtoleranzen!Y45),IF(AND($F$11="ZC",$F$7=9),(Grundtoleranzen!Y45),IF(AND($F$11="ZC",$F$7=10),(Grundtoleranzen!Y45),IF(AND($F$11="ZC",$F$7=11),(Grundtoleranzen!Y45),IF(AND($F$11="ZC",$F$7=12),(Grundtoleranzen!Y45),IF(AND($F$11="ZC",$F$7=13),(Grundtoleranzen!Y45),IF(AND($F$11="ZC",$F$7=14),(Grundtoleranzen!Y45),IF(AND($F$11="ZC",$F$7=15),(Grundtoleranzen!Y45),IF(AND($F$11="ZC",$F$7=16),(Grundtoleranzen!Y45),IF(AND($F$11="ZC",$F$7=17),(Grundtoleranzen!Y45),IF(AND($F$11="ZC",$F$7=18),(Grundtoleranzen!Y45),"Error"))))))))))))))))))</f>
        <v>#REF!</v>
      </c>
    </row>
    <row r="14" spans="1:29" ht="15.75" thickBot="1" x14ac:dyDescent="0.3">
      <c r="A14" s="66">
        <v>12</v>
      </c>
      <c r="B14" s="66" t="s">
        <v>163</v>
      </c>
      <c r="C14" s="66" t="s">
        <v>106</v>
      </c>
      <c r="E14" s="348" t="s">
        <v>186</v>
      </c>
      <c r="F14" s="349"/>
      <c r="H14" s="24" t="s">
        <v>79</v>
      </c>
      <c r="I14" s="38" t="e">
        <f>IF(AND(F$7=1),Grundtoleranzen!B15,IF(AND(F$7=2),Grundtoleranzen!C15,IF(AND(F$7=3),Grundtoleranzen!D15,IF(AND(F$7=4),Grundtoleranzen!E15,IF(AND(F$7=5),Grundtoleranzen!F15,IF(AND(F$7=6),Grundtoleranzen!G15,IF(AND(F$7=7),Grundtoleranzen!H15,IF(AND(F$7=8),Grundtoleranzen!I15,IF(AND(F$7=9),Grundtoleranzen!J15,IF(AND(F$7=10),Grundtoleranzen!K15,IF(AND(F$7=11),Grundtoleranzen!L15,IF(AND(F$7=12),Grundtoleranzen!M15,IF(AND(F$7=13),Grundtoleranzen!N15,IF(AND(F$7=14),Grundtoleranzen!O15,IF(AND(F$7=15),Grundtoleranzen!P15,IF(AND(F$7=16),Grundtoleranzen!Q15,IF(AND(F$7=17),Grundtoleranzen!R15,IF(AND(F$7=18),Grundtoleranzen!S15))))))))))))))))))</f>
        <v>#REF!</v>
      </c>
      <c r="K14" s="24" t="s">
        <v>137</v>
      </c>
      <c r="L14" s="68" t="e">
        <f>IF(AND(F$11="C"),Grundtoleranzen!B46,IF(AND(F$11="D"),Grundtoleranzen!C46,IF(AND(F$11="E"),Grundtoleranzen!D46,IF(AND(F$11="F"),Grundtoleranzen!E46,IF(AND(F$11="G"),Grundtoleranzen!F46,IF(AND(F$11="H"),Grundtoleranzen!G46))))))</f>
        <v>#REF!</v>
      </c>
      <c r="M14" s="24" t="s">
        <v>79</v>
      </c>
      <c r="N14" s="70" t="e">
        <f>IF(AND(F$11="JS",F$7=1),(Grundtoleranzen!B15)/2,IF(AND(F$11="JS",F$7=2),(Grundtoleranzen!C15)/2,IF(AND(F$11="JS",F$7=3),(Grundtoleranzen!D15)/2,IF(AND(F$11="JS",F$7=4),(Grundtoleranzen!E15)/2,IF(AND(F$11="JS",F$7=5),(Grundtoleranzen!F15)/2,IF(AND(F$11="JS",F$7=6),(Grundtoleranzen!G15)/2,IF(AND(F$11="JS",F$7=7),(Grundtoleranzen!H15)/2,IF(AND(F$11="JS",F$7=8),(Grundtoleranzen!I15)/2,IF(AND(F$11="JS",F$7=9),(Grundtoleranzen!J15)/2,IF(AND(F$11="JS",F$7=10),(Grundtoleranzen!K15)/2,IF(AND(F$11="JS",F$7=11),(Grundtoleranzen!L15)/2,IF(AND(F$11="JS",F$7=12),(Grundtoleranzen!M15)/2,IF(AND(F$11="JS",F$7=13),(Grundtoleranzen!N15)/2,IF(AND(F$11="JS",F$7=14),(Grundtoleranzen!O15)/2,IF(AND(F$11="JS",F$7=15),(Grundtoleranzen!P15)/2,IF(AND(F$11="JS",F$7=16),(Grundtoleranzen!Q15)/2,IF(AND(F$11="JS",F$7=17),(Grundtoleranzen!R15)/2,IF(AND(F$11="JS",F$7=18),(Grundtoleranzen!S15)/2))))))))))))))))))*-1</f>
        <v>#REF!</v>
      </c>
      <c r="P14" s="70" t="e">
        <f>IF(AND(F$11="J",F$7=6),(Grundtoleranzen!I46),IF(AND(F$11="J",F$7=7),(Grundtoleranzen!J46),IF(AND(F$11="J",F$7=8),(Grundtoleranzen!K46),"Nur IT6-8")))</f>
        <v>#REF!</v>
      </c>
      <c r="Q14" s="83" t="e">
        <f>IF(AND($F$11="K",$F$7=1),(Grundtoleranzen!L46),IF(AND($F$11="K",$F$7=2),(Grundtoleranzen!L46),IF(AND($F$11="K",$F$7=3),(Grundtoleranzen!L46)+Grundtoleranzen!Z46,IF(AND($F$11="K",$F$7=4),(Grundtoleranzen!L46)+Grundtoleranzen!AA46,IF(AND($F$11="K",$F$7=5),(Grundtoleranzen!L46)+Grundtoleranzen!AB46,IF(AND($F$11="K",$F$7=6),(Grundtoleranzen!L46)+Grundtoleranzen!AC46,IF(AND($F$11="K",$F$7=7),(Grundtoleranzen!L46)+Grundtoleranzen!AD46,IF(AND($F$11="K",$F$7=8),(Grundtoleranzen!L46)+Grundtoleranzen!AE46,"Nur IT 1 - 8"))))))))</f>
        <v>#REF!</v>
      </c>
      <c r="R14" s="70" t="e">
        <f>IF(AND($F$11="M",$F$7=1),(Grundtoleranzen!M46),IF(AND($F$11="M",$F$7=2),(Grundtoleranzen!M46),IF(AND($F$11="M",$F$7=3),(Grundtoleranzen!M46)+Grundtoleranzen!$Z46,IF(AND($F$11="M",$F$7=4),(Grundtoleranzen!M46)+Grundtoleranzen!$AA46,IF(AND($F$11="M",$F$7=5),(Grundtoleranzen!M46)+Grundtoleranzen!$AB46,IF(AND($F$11="M",$F$7=6),(Grundtoleranzen!M46)+Grundtoleranzen!$AC46,IF(AND($F$11="M",$F$7=7),(Grundtoleranzen!M46)+Grundtoleranzen!$AD46,IF(AND($F$11="M",$F$7=8),(Grundtoleranzen!M46)+Grundtoleranzen!$AE46,IF(AND($F$11="M",$F$7=9),(Grundtoleranzen!M46),IF(AND($F$11="M",$F$7=10),(Grundtoleranzen!M46),IF(AND($F$11="M",$F$7=11),(Grundtoleranzen!M46),IF(AND($F$11="M",$F$7=12),(Grundtoleranzen!M46),IF(AND($F$11="M",$F$7=13),(Grundtoleranzen!M46),IF(AND($F$11="M",$F$7=14),(Grundtoleranzen!M46),IF(AND($F$11="M",$F$7=15),(Grundtoleranzen!M46),IF(AND($F$11="M",$F$7=16),(Grundtoleranzen!M46),IF(AND($F$11="M",$F$7=17),(Grundtoleranzen!M46),IF(AND($F$11="M",$F$7=18),(Grundtoleranzen!M46),"Error"))))))))))))))))))</f>
        <v>#REF!</v>
      </c>
      <c r="S14" s="70" t="e">
        <f>IF(AND($F$11="N",$F$7=1),(Grundtoleranzen!N46),IF(AND($F$11="N",$F$7=2),(Grundtoleranzen!N46),IF(AND($F$11="N",$F$7=3),(Grundtoleranzen!N46)+Grundtoleranzen!$Z46,IF(AND($F$11="N",$F$7=4),(Grundtoleranzen!N46)+Grundtoleranzen!$AA46,IF(AND($F$11="N",$F$7=5),(Grundtoleranzen!N46)+Grundtoleranzen!$AB46,IF(AND($F$11="N",$F$7=6),(Grundtoleranzen!N46)+Grundtoleranzen!$AC46,IF(AND($F$11="N",$F$7=7),(Grundtoleranzen!N46)+Grundtoleranzen!$AD46,IF(AND($F$11="N",$F$7=8),(Grundtoleranzen!N46)+Grundtoleranzen!$AE46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#REF!</v>
      </c>
      <c r="T14" s="70" t="e">
        <f>IF(AND($F$11="P",$F$7=1),(Grundtoleranzen!P46),IF(AND($F$11="P",$F$7=2),(Grundtoleranzen!P46),IF(AND($F$11="P",$F$7=3),(Grundtoleranzen!P46)+Grundtoleranzen!$Z46,IF(AND($F$11="P",$F$7=4),(Grundtoleranzen!P46)+Grundtoleranzen!$AA46,IF(AND($F$11="P",$F$7=5),(Grundtoleranzen!P46)+Grundtoleranzen!$AB46,IF(AND($F$11="P",$F$7=6),(Grundtoleranzen!P46)+Grundtoleranzen!$AC46,IF(AND($F$11="P",$F$7=7),(Grundtoleranzen!P46)+Grundtoleranzen!$AD46,IF(AND($F$11="P",$F$7=8),(Grundtoleranzen!P46),IF(AND($F$11="P",$F$7=9),(Grundtoleranzen!P46),IF(AND($F$11="P",$F$7=10),(Grundtoleranzen!P46),IF(AND($F$11="P",$F$7=11),(Grundtoleranzen!P46),IF(AND($F$11="P",$F$7=12),(Grundtoleranzen!P46),IF(AND($F$11="P",$F$7=13),(Grundtoleranzen!P46),IF(AND($F$11="P",$F$7=14),(Grundtoleranzen!P46),IF(AND($F$11="P",$F$7=15),(Grundtoleranzen!P46),IF(AND($F$11="P",$F$7=16),(Grundtoleranzen!P46),IF(AND($F$11="P",$F$7=17),(Grundtoleranzen!P46),IF(AND($F$11="P",$F$7=18),(Grundtoleranzen!P46),"Error"))))))))))))))))))</f>
        <v>#REF!</v>
      </c>
      <c r="U14" s="70" t="e">
        <f>IF(AND($F$11="R",$F$7=1),(Grundtoleranzen!Q46),IF(AND($F$11="R",$F$7=2),(Grundtoleranzen!Q46),IF(AND($F$11="R",$F$7=3),(Grundtoleranzen!Q46)+Grundtoleranzen!$Z46,IF(AND($F$11="R",$F$7=4),(Grundtoleranzen!Q46)+Grundtoleranzen!$AA46,IF(AND($F$11="R",$F$7=5),(Grundtoleranzen!Q46)+Grundtoleranzen!$AB46,IF(AND($F$11="R",$F$7=6),(Grundtoleranzen!Q46)+Grundtoleranzen!$AC46,IF(AND($F$11="R",$F$7=7),(Grundtoleranzen!Q46)+Grundtoleranzen!$AD46,IF(AND($F$11="R",$F$7=8),(Grundtoleranzen!Q46)+Grundtoleranzen!$AE46,IF(AND($F$11="R",$F$7=9),(Grundtoleranzen!Q46),IF(AND($F$11="R",$F$7=10),(Grundtoleranzen!Q46),IF(AND($F$11="R",$F$7=11),(Grundtoleranzen!Q46),IF(AND($F$11="R",$F$7=12),(Grundtoleranzen!Q46),IF(AND($F$11="R",$F$7=13),(Grundtoleranzen!Q46),IF(AND($F$11="R",$F$7=14),(Grundtoleranzen!Q46),IF(AND($F$11="R",$F$7=15),(Grundtoleranzen!Q46),IF(AND($F$11="R",$F$7=16),(Grundtoleranzen!Q46),IF(AND($F$11="R",$F$7=17),(Grundtoleranzen!Q46),IF(AND($F$11="R",$F$7=18),(Grundtoleranzen!Q46),"Error"))))))))))))))))))</f>
        <v>#REF!</v>
      </c>
      <c r="V14" s="70" t="e">
        <f>IF(AND($F$11="S",$F$7=1),Grundtoleranzen!R46,IF(AND($F$11="S",$F$7=2),(Grundtoleranzen!R46),IF(AND($F$11="S",$F$7=3),(Grundtoleranzen!R46)+Grundtoleranzen!$Z46,IF(AND($F$11="S",$F$7=4),(Grundtoleranzen!R46)+Grundtoleranzen!$AA46,IF(AND($F$11="S",$F$7=5),(Grundtoleranzen!R46)+Grundtoleranzen!$AB46,IF(AND($F$11="S",$F$7=6),(Grundtoleranzen!R46)+Grundtoleranzen!$AC46,IF(AND($F$11="S",$F$7=7),(Grundtoleranzen!R46)+Grundtoleranzen!$AD46,IF(AND($F$11="S",$F$7=8),(Grundtoleranzen!R46),IF(AND($F$11="S",$F$7=9),(Grundtoleranzen!R46),IF(AND($F$11="S",$F$7=10),(Grundtoleranzen!R46),IF(AND($F$11="S",$F$7=11),(Grundtoleranzen!R46),IF(AND($F$11="S",$F$7=12),(Grundtoleranzen!R46),IF(AND($F$11="S",$F$7=13),(Grundtoleranzen!R46),IF(AND($F$11="S",$F$7=14),(Grundtoleranzen!R46),IF(AND($F$11="S",$F$7=15),(Grundtoleranzen!R46),IF(AND($F$11="S",$F$7=16),(Grundtoleranzen!R46),IF(AND($F$11="S",$F$7=17),(Grundtoleranzen!R46),IF(AND($F$11="S",$F$7=18),(Grundtoleranzen!R46),"Error"))))))))))))))))))</f>
        <v>#REF!</v>
      </c>
      <c r="W14" s="70" t="e">
        <f>IF(AND($F$11="T",$F$7=1),(Grundtoleranzen!S46),IF(AND($F$11="T",$F$7=2),(Grundtoleranzen!S46),IF(AND($F$11="T",$F$7=3),(Grundtoleranzen!S46)+Grundtoleranzen!$Z46,IF(AND($F$11="T",$F$7=4),(Grundtoleranzen!S46)+Grundtoleranzen!$AA46,IF(AND($F$11="T",$F$7=5),(Grundtoleranzen!S46)+Grundtoleranzen!$AB46,IF(AND($F$11="T",$F$7=6),(Grundtoleranzen!S46)+Grundtoleranzen!$AC46,IF(AND($F$11="T",$F$7=7),(Grundtoleranzen!S46)+Grundtoleranzen!$AD46,IF(AND($F$11="T",$F$7=8),(Grundtoleranzen!S46),IF(AND($F$11="T",$F$7=9),(Grundtoleranzen!S46),IF(AND($F$11="T",$F$7=10),(Grundtoleranzen!S46),IF(AND($F$11="T",$F$7=11),(Grundtoleranzen!S46),IF(AND($F$11="T",$F$7=12),(Grundtoleranzen!S46),IF(AND($F$11="T",$F$7=13),(Grundtoleranzen!S46),IF(AND($F$11="T",$F$7=14),(Grundtoleranzen!S46),IF(AND($F$11="T",$F$7=15),(Grundtoleranzen!S46),IF(AND($F$11="T",$F$7=16),(Grundtoleranzen!S46),IF(AND($F$11="T",$F$7=17),(Grundtoleranzen!S46),IF(AND($F$11="T",$F$7=18),(Grundtoleranzen!S46),"Error"))))))))))))))))))</f>
        <v>#REF!</v>
      </c>
      <c r="X14" s="70" t="e">
        <f>IF(AND($F$11="U",$F$7=1),(Grundtoleranzen!T46),IF(AND($F$11="U",$F$7=2),(Grundtoleranzen!T46),IF(AND($F$11="U",$F$7=3),(Grundtoleranzen!T46)+Grundtoleranzen!$Z46,IF(AND($F$11="U",$F$7=4),(Grundtoleranzen!T46)+Grundtoleranzen!$AA46,IF(AND($F$11="U",$F$7=5),(Grundtoleranzen!T46)+Grundtoleranzen!$AB46,IF(AND($F$11="U",$F$7=6),(Grundtoleranzen!T46)+Grundtoleranzen!$AC46,IF(AND($F$11="U",$F$7=7),(Grundtoleranzen!T46)+Grundtoleranzen!$AD46,IF(AND($F$11="U",$F$7=8),(Grundtoleranzen!T46),IF(AND($F$11="U",$F$7=9),(Grundtoleranzen!T46),IF(AND($F$11="U",$F$7=10),(Grundtoleranzen!T46),IF(AND($F$11="U",$F$7=11),(Grundtoleranzen!T46),IF(AND($F$11="U",$F$7=12),(Grundtoleranzen!T46),IF(AND($F$11="U",$F$7=13),(Grundtoleranzen!T46),IF(AND($F$11="U",$F$7=14),(Grundtoleranzen!T46),IF(AND($F$11="U",$F$7=15),(Grundtoleranzen!T46),IF(AND($F$11="U",$F$7=16),(Grundtoleranzen!T46),IF(AND($F$11="U",$F$7=17),(Grundtoleranzen!T46),IF(AND($F$11="U",$F$7=18),(Grundtoleranzen!T46),"Error"))))))))))))))))))</f>
        <v>#REF!</v>
      </c>
      <c r="Y14" s="70" t="e">
        <f>IF(AND($F$11="X",$F$7=1),(Grundtoleranzen!U46),IF(AND($F$11="X",$F$7=2),(Grundtoleranzen!U46),IF(AND($F$11="X",$F$7=3),(Grundtoleranzen!U46)+Grundtoleranzen!$Z46,IF(AND($F$11="X",$F$7=4),(Grundtoleranzen!U46)+Grundtoleranzen!$AA46,IF(AND($F$11="X",$F$7=5),(Grundtoleranzen!U46)+Grundtoleranzen!$AB46,IF(AND($F$11="X",$F$7=6),(Grundtoleranzen!U46)+Grundtoleranzen!$AC46,IF(AND($F$11="X",$F$7=7),(Grundtoleranzen!U46)+Grundtoleranzen!$AD46,IF(AND($F$11="X",$F$7=8),(Grundtoleranzen!U46)+Grundtoleranzen!$AE46,IF(AND($F$11="X",$F$7=9),(Grundtoleranzen!U46),IF(AND($F$11="X",$F$7=10),(Grundtoleranzen!U46),IF(AND($F$11="X",$F$7=11),(Grundtoleranzen!U46),IF(AND($F$11="X",$F$7=12),(Grundtoleranzen!U46),IF(AND($F$11="X",$F$7=13),(Grundtoleranzen!U46),IF(AND($F$11="X",$F$7=14),(Grundtoleranzen!U46),IF(AND($F$11="X",$F$7=15),(Grundtoleranzen!U46),IF(AND($F$11="X",$F$7=16),(Grundtoleranzen!U46),IF(AND($F$11="X",$F$7=17),(Grundtoleranzen!U46),IF(AND($F$11="X",$F$7=18),(Grundtoleranzen!U46),"Error"))))))))))))))))))</f>
        <v>#REF!</v>
      </c>
      <c r="Z14" s="70" t="e">
        <f>IF(AND($F$11="Z",$F$7=1),(Grundtoleranzen!V46),IF(AND($F$11="Z",$F$7=2),(Grundtoleranzen!V46),IF(AND($F$11="Z",$F$7=3),(Grundtoleranzen!V46)+Grundtoleranzen!$Z46,IF(AND($F$11="Z",$F$7=4),(Grundtoleranzen!V46)+Grundtoleranzen!$AA46,IF(AND($F$11="Z",$F$7=5),(Grundtoleranzen!V46)+Grundtoleranzen!$AB46,IF(AND($F$11="Z",$F$7=6),(Grundtoleranzen!V46)+Grundtoleranzen!$AC46,IF(AND($F$11="Z",$F$7=7),(Grundtoleranzen!V46)+Grundtoleranzen!$AD46,IF(AND($F$11="Z",$F$7=8),(Grundtoleranzen!V46),IF(AND($F$11="Z",$F$7=9),(Grundtoleranzen!V46),IF(AND($F$11="Z",$F$7=10),(Grundtoleranzen!V46),IF(AND($F$11="Z",$F$7=11),(Grundtoleranzen!V46),IF(AND($F$11="Z",$F$7=12),(Grundtoleranzen!V46),IF(AND($F$11="Z",$F$7=13),(Grundtoleranzen!V46),IF(AND($F$11="Z",$F$7=14),(Grundtoleranzen!V46),IF(AND($F$11="Z",$F$7=15),(Grundtoleranzen!V46),IF(AND($F$11="Z",$F$7=16),(Grundtoleranzen!V46),IF(AND($F$11="Z",$F$7=17),(Grundtoleranzen!V46),IF(AND($F$11="Z",$F$7=18),(Grundtoleranzen!V46),"Error"))))))))))))))))))</f>
        <v>#REF!</v>
      </c>
      <c r="AA14" s="70" t="e">
        <f>IF(AND($F$11="ZA",$F$7=1),(Grundtoleranzen!W46),IF(AND($F$11="ZA",$F$7=2),(Grundtoleranzen!W46),IF(AND($F$11="ZA",$F$7=3),(Grundtoleranzen!W46)+Grundtoleranzen!$Z46,IF(AND($F$11="ZA",$F$7=4),(Grundtoleranzen!W46)+Grundtoleranzen!$AA46,IF(AND($F$11="ZA",$F$7=5),(Grundtoleranzen!W46)+Grundtoleranzen!$AB46,IF(AND($F$11="ZA",$F$7=6),(Grundtoleranzen!W46)+Grundtoleranzen!$AC46,IF(AND($F$11="ZA",$F$7=7),(Grundtoleranzen!W46)+Grundtoleranzen!$AD46,IF(AND($F$11="ZA",$F$7=8),(Grundtoleranzen!W46),IF(AND($F$11="ZA",$F$7=9),(Grundtoleranzen!W46),IF(AND($F$11="ZA",$F$7=10),(Grundtoleranzen!W46),IF(AND($F$11="ZA",$F$7=11),(Grundtoleranzen!W46),IF(AND($F$11="ZA",$F$7=12),(Grundtoleranzen!W46),IF(AND($F$11="ZA",$F$7=13),(Grundtoleranzen!W46),IF(AND($F$11="ZA",$F$7=14),(Grundtoleranzen!W46),IF(AND($F$11="ZA",$F$7=15),(Grundtoleranzen!W46),IF(AND($F$11="ZA",$F$7=16),(Grundtoleranzen!W46),IF(AND($F$11="ZA",$F$7=17),(Grundtoleranzen!W46),IF(AND($F$11="ZA",$F$7=18),(Grundtoleranzen!W46),"Error"))))))))))))))))))</f>
        <v>#REF!</v>
      </c>
      <c r="AB14" s="70" t="e">
        <f>IF(AND($F$11="ZB",$F$7=1),(Grundtoleranzen!X46),IF(AND($F$11="ZB",$F$7=2),(Grundtoleranzen!X46),IF(AND($F$11="ZB",$F$7=3),(Grundtoleranzen!X46)+Grundtoleranzen!$Z46,IF(AND($F$11="ZB",$F$7=4),(Grundtoleranzen!X46)+Grundtoleranzen!$AA46,IF(AND($F$11="ZB",$F$7=5),(Grundtoleranzen!X46)+Grundtoleranzen!$AB46,IF(AND($F$11="ZB",$F$7=6),(Grundtoleranzen!X46)+Grundtoleranzen!$AC46,IF(AND($F$11="ZB",$F$7=7),(Grundtoleranzen!X46)+Grundtoleranzen!$AD46,IF(AND($F$11="ZB",$F$7=8),(Grundtoleranzen!X46),IF(AND($F$11="ZB",$F$7=9),(Grundtoleranzen!X46),IF(AND($F$11="ZB",$F$7=10),(Grundtoleranzen!X46),IF(AND($F$11="ZB",$F$7=11),(Grundtoleranzen!X46),IF(AND($F$11="ZB",$F$7=12),(Grundtoleranzen!X46),IF(AND($F$11="ZB",$F$7=13),(Grundtoleranzen!X46),IF(AND($F$11="ZB",$F$7=14),(Grundtoleranzen!X46),IF(AND($F$11="ZB",$F$7=15),(Grundtoleranzen!X46),IF(AND($F$11="ZB",$F$7=16),(Grundtoleranzen!X46),IF(AND($F$11="ZB",$F$7=17),(Grundtoleranzen!X46),IF(AND($F$11="ZB",$F$7=18),(Grundtoleranzen!X46),"Error"))))))))))))))))))</f>
        <v>#REF!</v>
      </c>
      <c r="AC14" s="70" t="e">
        <f>IF(AND($F$11="ZC",$F$7=1),(Grundtoleranzen!Y46),IF(AND($F$11="ZC",$F$7=2),(Grundtoleranzen!Y46),IF(AND($F$11="ZC",$F$7=3),(Grundtoleranzen!Y46)+Grundtoleranzen!$Z46,IF(AND($F$11="ZC",$F$7=4),(Grundtoleranzen!Y46)+Grundtoleranzen!$AA46,IF(AND($F$11="ZC",$F$7=5),(Grundtoleranzen!Y46)+Grundtoleranzen!$AB46,IF(AND($F$11="ZC",$F$7=6),(Grundtoleranzen!Y46)+Grundtoleranzen!$AC46,IF(AND($F$11="ZC",$F$7=7),(Grundtoleranzen!Y46)+Grundtoleranzen!$AD46,IF(AND($F$11="ZC",$F$7=8),(Grundtoleranzen!Y46),IF(AND($F$11="ZC",$F$7=9),(Grundtoleranzen!Y46),IF(AND($F$11="ZC",$F$7=10),(Grundtoleranzen!Y46),IF(AND($F$11="ZC",$F$7=11),(Grundtoleranzen!Y46),IF(AND($F$11="ZC",$F$7=12),(Grundtoleranzen!Y46),IF(AND($F$11="ZC",$F$7=13),(Grundtoleranzen!Y46),IF(AND($F$11="ZC",$F$7=14),(Grundtoleranzen!Y46),IF(AND($F$11="ZC",$F$7=15),(Grundtoleranzen!Y46),IF(AND($F$11="ZC",$F$7=16),(Grundtoleranzen!Y46),IF(AND($F$11="ZC",$F$7=17),(Grundtoleranzen!Y46),IF(AND($F$11="ZC",$F$7=18),(Grundtoleranzen!Y46),"Error"))))))))))))))))))</f>
        <v>#REF!</v>
      </c>
    </row>
    <row r="15" spans="1:29" ht="15.75" thickBot="1" x14ac:dyDescent="0.3">
      <c r="A15" s="66">
        <v>13</v>
      </c>
      <c r="B15" s="66" t="s">
        <v>164</v>
      </c>
      <c r="C15" s="66" t="s">
        <v>107</v>
      </c>
      <c r="E15" s="72" t="s">
        <v>118</v>
      </c>
      <c r="F15" s="73" t="e">
        <f>IF(AND(E4&gt;0,E4&lt;=3),I5,IF(AND(E4&gt;3,E4&lt;=6),I6,IF(AND(E4&gt;6,E4&lt;=10),I7,IF(AND(E4&gt;10,E4&lt;=18),I8,IF(AND(E4&gt;18,E4&lt;=30),I9,IF(AND(E4&gt;30,E4&lt;=50),I10,IF(AND(E4&gt;50,E4&lt;=80),I11,IF(AND(E4&gt;80,E4&lt;=120),I12,IF(AND(E4&gt;120,E4&lt;=180),I13,IF(AND(E4&gt;180,E4&lt;=250),I14,IF(AND(E4&gt;250,E4&lt;=315),I15,IF(AND(E4&gt;315,E4&lt;=400),I16,IF(AND(E4&gt;400,E4&lt;=500),I17,IF(AND(E4&gt;500,E4&lt;=630),I18,IF(AND(E4&gt;630,E4&lt;=800),I20,IF(AND(E4&gt;800,E4&lt;=1000),I21,IF(AND(E4&gt;1000,E4&lt;=1250),I22,IF(AND(E4&gt;1250,E4&lt;=1600),I23,IF(AND(E4&gt;1600,E4&lt;=2000),I24,IF(AND(E4&gt;200,E4&lt;=2500),I24,IF(AND(E4&gt;2500,E4&lt;=3150),I25)))))))))))))))))))))</f>
        <v>#REF!</v>
      </c>
      <c r="H15" s="24" t="s">
        <v>80</v>
      </c>
      <c r="I15" s="38" t="e">
        <f>IF(AND(F$7=1),Grundtoleranzen!B16,IF(AND(F$7=2),Grundtoleranzen!C16,IF(AND(F$7=3),Grundtoleranzen!D16,IF(AND(F$7=4),Grundtoleranzen!E16,IF(AND(F$7=5),Grundtoleranzen!F16,IF(AND(F$7=6),Grundtoleranzen!G16,IF(AND(F$7=7),Grundtoleranzen!H16,IF(AND(F$7=8),Grundtoleranzen!I16,IF(AND(F$7=9),Grundtoleranzen!J16,IF(AND(F$7=10),Grundtoleranzen!K16,IF(AND(F$7=11),Grundtoleranzen!L16,IF(AND(F$7=12),Grundtoleranzen!M16,IF(AND(F$7=13),Grundtoleranzen!N16,IF(AND(F$7=14),Grundtoleranzen!O16,IF(AND(F$7=15),Grundtoleranzen!P16,IF(AND(F$7=16),Grundtoleranzen!Q16,IF(AND(F$7=17),Grundtoleranzen!R16,IF(AND(F$7=18),Grundtoleranzen!S16))))))))))))))))))</f>
        <v>#REF!</v>
      </c>
      <c r="K15" s="24" t="s">
        <v>136</v>
      </c>
      <c r="L15" s="68" t="e">
        <f>IF(AND(F$11="C"),Grundtoleranzen!B47,IF(AND(F$11="D"),Grundtoleranzen!C47,IF(AND(F$11="E"),Grundtoleranzen!D47,IF(AND(F$11="F"),Grundtoleranzen!E47,IF(AND(F$11="G"),Grundtoleranzen!F47,IF(AND(F$11="H"),Grundtoleranzen!G47))))))</f>
        <v>#REF!</v>
      </c>
      <c r="M15" s="24" t="s">
        <v>80</v>
      </c>
      <c r="N15" s="70" t="e">
        <f>IF(AND(F$11="JS",F$7=1),(Grundtoleranzen!B16)/2,IF(AND(F$11="JS",F$7=2),(Grundtoleranzen!C16)/2,IF(AND(F$11="JS",F$7=3),(Grundtoleranzen!D16)/2,IF(AND(F$11="JS",F$7=4),(Grundtoleranzen!E16)/2,IF(AND(F$11="JS",F$7=5),(Grundtoleranzen!F16)/2,IF(AND(F$11="JS",F$7=6),(Grundtoleranzen!G16)/2,IF(AND(F$11="JS",F$7=7),(Grundtoleranzen!H16)/2,IF(AND(F$11="JS",F$7=8),(Grundtoleranzen!I16)/2,IF(AND(F$11="JS",F$7=9),(Grundtoleranzen!J16)/2,IF(AND(F$11="JS",F$7=10),(Grundtoleranzen!K16)/2,IF(AND(F$11="JS",F$7=11),(Grundtoleranzen!L16)/2,IF(AND(F$11="JS",F$7=12),(Grundtoleranzen!M16)/2,IF(AND(F$11="JS",F$7=13),(Grundtoleranzen!N16)/2,IF(AND(F$11="JS",F$7=14),(Grundtoleranzen!O16)/2,IF(AND(F$11="JS",F$7=15),(Grundtoleranzen!P16)/2,IF(AND(F$11="JS",F$7=16),(Grundtoleranzen!Q16)/2,IF(AND(F$11="JS",F$7=17),(Grundtoleranzen!R16)/2,IF(AND(F$11="JS",F$7=18),(Grundtoleranzen!S16)/2))))))))))))))))))*-1</f>
        <v>#REF!</v>
      </c>
      <c r="P15" s="70" t="e">
        <f>IF(AND(F$11="J",F$7=6),(Grundtoleranzen!I47),IF(AND(F$11="J",F$7=7),(Grundtoleranzen!J47),IF(AND(F$11="J",F$7=8),(Grundtoleranzen!K47),"Nur IT6-8")))</f>
        <v>#REF!</v>
      </c>
      <c r="Q15" s="83" t="e">
        <f>IF(AND($F$11="K",$F$7=1),(Grundtoleranzen!L47),IF(AND($F$11="K",$F$7=2),(Grundtoleranzen!L47),IF(AND($F$11="K",$F$7=3),(Grundtoleranzen!L47)+Grundtoleranzen!Z47,IF(AND($F$11="K",$F$7=4),(Grundtoleranzen!L47)+Grundtoleranzen!AA47,IF(AND($F$11="K",$F$7=5),(Grundtoleranzen!L47)+Grundtoleranzen!AB47,IF(AND($F$11="K",$F$7=6),(Grundtoleranzen!L47)+Grundtoleranzen!AC47,IF(AND($F$11="K",$F$7=7),(Grundtoleranzen!L47)+Grundtoleranzen!AD47,IF(AND($F$11="K",$F$7=8),(Grundtoleranzen!L47)+Grundtoleranzen!AE47,"Nur IT 1 - 8"))))))))</f>
        <v>#REF!</v>
      </c>
      <c r="R15" s="70" t="e">
        <f>IF(AND($F$11="M",$F$7=1),(Grundtoleranzen!M47),IF(AND($F$11="M",$F$7=2),(Grundtoleranzen!M47),IF(AND($F$11="M",$F$7=3),(Grundtoleranzen!M47)+Grundtoleranzen!$Z47,IF(AND($F$11="M",$F$7=4),(Grundtoleranzen!M47)+Grundtoleranzen!$AA47,IF(AND($F$11="M",$F$7=5),(Grundtoleranzen!M47)+Grundtoleranzen!$AB47,IF(AND($F$11="M",$F$7=6),(Grundtoleranzen!M47)+Grundtoleranzen!$AC47,IF(AND($F$11="M",$F$7=7),(Grundtoleranzen!M47)+Grundtoleranzen!$AD47,IF(AND($F$11="M",$F$7=8),(Grundtoleranzen!M47)+Grundtoleranzen!$AE47,IF(AND($F$11="M",$F$7=9),(Grundtoleranzen!M47),IF(AND($F$11="M",$F$7=10),(Grundtoleranzen!M47),IF(AND($F$11="M",$F$7=11),(Grundtoleranzen!M47),IF(AND($F$11="M",$F$7=12),(Grundtoleranzen!M47),IF(AND($F$11="M",$F$7=13),(Grundtoleranzen!M47),IF(AND($F$11="M",$F$7=14),(Grundtoleranzen!M47),IF(AND($F$11="M",$F$7=15),(Grundtoleranzen!M47),IF(AND($F$11="M",$F$7=16),(Grundtoleranzen!M47),IF(AND($F$11="M",$F$7=17),(Grundtoleranzen!M47),IF(AND($F$11="M",$F$7=18),(Grundtoleranzen!M47),"Error"))))))))))))))))))</f>
        <v>#REF!</v>
      </c>
      <c r="S15" s="70" t="e">
        <f>IF(AND($F$11="N",$F$7=1),(Grundtoleranzen!N47),IF(AND($F$11="N",$F$7=2),(Grundtoleranzen!N47),IF(AND($F$11="N",$F$7=3),(Grundtoleranzen!N47)+Grundtoleranzen!$Z47,IF(AND($F$11="N",$F$7=4),(Grundtoleranzen!N47)+Grundtoleranzen!$AA47,IF(AND($F$11="N",$F$7=5),(Grundtoleranzen!N47)+Grundtoleranzen!$AB47,IF(AND($F$11="N",$F$7=6),(Grundtoleranzen!N47)+Grundtoleranzen!$AC47,IF(AND($F$11="N",$F$7=7),(Grundtoleranzen!N47)+Grundtoleranzen!$AD47,IF(AND($F$11="N",$F$7=8),(Grundtoleranzen!N47)+Grundtoleranzen!$AE47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#REF!</v>
      </c>
      <c r="T15" s="70" t="e">
        <f>IF(AND($F$11="P",$F$7=1),(Grundtoleranzen!P47),IF(AND($F$11="P",$F$7=2),(Grundtoleranzen!P47),IF(AND($F$11="P",$F$7=3),(Grundtoleranzen!P47)+Grundtoleranzen!$Z47,IF(AND($F$11="P",$F$7=4),(Grundtoleranzen!P47)+Grundtoleranzen!$AA47,IF(AND($F$11="P",$F$7=5),(Grundtoleranzen!P47)+Grundtoleranzen!$AB47,IF(AND($F$11="P",$F$7=6),(Grundtoleranzen!P47)+Grundtoleranzen!$AC47,IF(AND($F$11="P",$F$7=7),(Grundtoleranzen!P47)+Grundtoleranzen!$AD47,IF(AND($F$11="P",$F$7=8),(Grundtoleranzen!P47),IF(AND($F$11="P",$F$7=9),(Grundtoleranzen!P47),IF(AND($F$11="P",$F$7=10),(Grundtoleranzen!P47),IF(AND($F$11="P",$F$7=11),(Grundtoleranzen!P47),IF(AND($F$11="P",$F$7=12),(Grundtoleranzen!P47),IF(AND($F$11="P",$F$7=13),(Grundtoleranzen!P47),IF(AND($F$11="P",$F$7=14),(Grundtoleranzen!P47),IF(AND($F$11="P",$F$7=15),(Grundtoleranzen!P47),IF(AND($F$11="P",$F$7=16),(Grundtoleranzen!P47),IF(AND($F$11="P",$F$7=17),(Grundtoleranzen!P47),IF(AND($F$11="P",$F$7=18),(Grundtoleranzen!P47),"Error"))))))))))))))))))</f>
        <v>#REF!</v>
      </c>
      <c r="U15" s="70" t="e">
        <f>IF(AND($F$11="R",$F$7=1),(Grundtoleranzen!Q47),IF(AND($F$11="R",$F$7=2),(Grundtoleranzen!Q47),IF(AND($F$11="R",$F$7=3),(Grundtoleranzen!Q47)+Grundtoleranzen!$Z47,IF(AND($F$11="R",$F$7=4),(Grundtoleranzen!Q47)+Grundtoleranzen!$AA47,IF(AND($F$11="R",$F$7=5),(Grundtoleranzen!Q47)+Grundtoleranzen!$AB47,IF(AND($F$11="R",$F$7=6),(Grundtoleranzen!Q47)+Grundtoleranzen!$AC47,IF(AND($F$11="R",$F$7=7),(Grundtoleranzen!Q47)+Grundtoleranzen!$AD47,IF(AND($F$11="R",$F$7=8),(Grundtoleranzen!Q47)+Grundtoleranzen!$AE47,IF(AND($F$11="R",$F$7=9),(Grundtoleranzen!Q47),IF(AND($F$11="R",$F$7=10),(Grundtoleranzen!Q47),IF(AND($F$11="R",$F$7=11),(Grundtoleranzen!Q47),IF(AND($F$11="R",$F$7=12),(Grundtoleranzen!Q47),IF(AND($F$11="R",$F$7=13),(Grundtoleranzen!Q47),IF(AND($F$11="R",$F$7=14),(Grundtoleranzen!Q47),IF(AND($F$11="R",$F$7=15),(Grundtoleranzen!Q47),IF(AND($F$11="R",$F$7=16),(Grundtoleranzen!Q47),IF(AND($F$11="R",$F$7=17),(Grundtoleranzen!Q47),IF(AND($F$11="R",$F$7=18),(Grundtoleranzen!Q47),"Error"))))))))))))))))))</f>
        <v>#REF!</v>
      </c>
      <c r="V15" s="70" t="e">
        <f>IF(AND($F$11="S",$F$7=1),Grundtoleranzen!R47,IF(AND($F$11="S",$F$7=2),(Grundtoleranzen!R47),IF(AND($F$11="S",$F$7=3),(Grundtoleranzen!R47)+Grundtoleranzen!$Z47,IF(AND($F$11="S",$F$7=4),(Grundtoleranzen!R47)+Grundtoleranzen!$AA47,IF(AND($F$11="S",$F$7=5),(Grundtoleranzen!R47)+Grundtoleranzen!$AB47,IF(AND($F$11="S",$F$7=6),(Grundtoleranzen!R47)+Grundtoleranzen!$AC47,IF(AND($F$11="S",$F$7=7),(Grundtoleranzen!R47)+Grundtoleranzen!$AD47,IF(AND($F$11="S",$F$7=8),(Grundtoleranzen!R47),IF(AND($F$11="S",$F$7=9),(Grundtoleranzen!R47),IF(AND($F$11="S",$F$7=10),(Grundtoleranzen!R47),IF(AND($F$11="S",$F$7=11),(Grundtoleranzen!R47),IF(AND($F$11="S",$F$7=12),(Grundtoleranzen!R47),IF(AND($F$11="S",$F$7=13),(Grundtoleranzen!R47),IF(AND($F$11="S",$F$7=14),(Grundtoleranzen!R47),IF(AND($F$11="S",$F$7=15),(Grundtoleranzen!R47),IF(AND($F$11="S",$F$7=16),(Grundtoleranzen!R47),IF(AND($F$11="S",$F$7=17),(Grundtoleranzen!R47),IF(AND($F$11="S",$F$7=18),(Grundtoleranzen!R47),"Error"))))))))))))))))))</f>
        <v>#REF!</v>
      </c>
      <c r="W15" s="70" t="e">
        <f>IF(AND($F$11="T",$F$7=1),(Grundtoleranzen!S47),IF(AND($F$11="T",$F$7=2),(Grundtoleranzen!S47),IF(AND($F$11="T",$F$7=3),(Grundtoleranzen!S47)+Grundtoleranzen!$Z47,IF(AND($F$11="T",$F$7=4),(Grundtoleranzen!S47)+Grundtoleranzen!$AA47,IF(AND($F$11="T",$F$7=5),(Grundtoleranzen!S47)+Grundtoleranzen!$AB47,IF(AND($F$11="T",$F$7=6),(Grundtoleranzen!S47)+Grundtoleranzen!$AC47,IF(AND($F$11="T",$F$7=7),(Grundtoleranzen!S47)+Grundtoleranzen!$AD47,IF(AND($F$11="T",$F$7=8),(Grundtoleranzen!S47),IF(AND($F$11="T",$F$7=9),(Grundtoleranzen!S47),IF(AND($F$11="T",$F$7=10),(Grundtoleranzen!S47),IF(AND($F$11="T",$F$7=11),(Grundtoleranzen!S47),IF(AND($F$11="T",$F$7=12),(Grundtoleranzen!S47),IF(AND($F$11="T",$F$7=13),(Grundtoleranzen!S47),IF(AND($F$11="T",$F$7=14),(Grundtoleranzen!S47),IF(AND($F$11="T",$F$7=15),(Grundtoleranzen!S47),IF(AND($F$11="T",$F$7=16),(Grundtoleranzen!S47),IF(AND($F$11="T",$F$7=17),(Grundtoleranzen!S47),IF(AND($F$11="T",$F$7=18),(Grundtoleranzen!S47),"Error"))))))))))))))))))</f>
        <v>#REF!</v>
      </c>
      <c r="X15" s="70" t="e">
        <f>IF(AND($F$11="U",$F$7=1),(Grundtoleranzen!T47),IF(AND($F$11="U",$F$7=2),(Grundtoleranzen!T47),IF(AND($F$11="U",$F$7=3),(Grundtoleranzen!T47)+Grundtoleranzen!$Z47,IF(AND($F$11="U",$F$7=4),(Grundtoleranzen!T47)+Grundtoleranzen!$AA47,IF(AND($F$11="U",$F$7=5),(Grundtoleranzen!T47)+Grundtoleranzen!$AB47,IF(AND($F$11="U",$F$7=6),(Grundtoleranzen!T47)+Grundtoleranzen!$AC47,IF(AND($F$11="U",$F$7=7),(Grundtoleranzen!T47)+Grundtoleranzen!$AD47,IF(AND($F$11="U",$F$7=8),(Grundtoleranzen!T47),IF(AND($F$11="U",$F$7=9),(Grundtoleranzen!T47),IF(AND($F$11="U",$F$7=10),(Grundtoleranzen!T47),IF(AND($F$11="U",$F$7=11),(Grundtoleranzen!T47),IF(AND($F$11="U",$F$7=12),(Grundtoleranzen!T47),IF(AND($F$11="U",$F$7=13),(Grundtoleranzen!T47),IF(AND($F$11="U",$F$7=14),(Grundtoleranzen!T47),IF(AND($F$11="U",$F$7=15),(Grundtoleranzen!T47),IF(AND($F$11="U",$F$7=16),(Grundtoleranzen!T47),IF(AND($F$11="U",$F$7=17),(Grundtoleranzen!T47),IF(AND($F$11="U",$F$7=18),(Grundtoleranzen!T47),"Error"))))))))))))))))))</f>
        <v>#REF!</v>
      </c>
      <c r="Y15" s="70" t="e">
        <f>IF(AND($F$11="X",$F$7=1),(Grundtoleranzen!U47),IF(AND($F$11="X",$F$7=2),(Grundtoleranzen!U47),IF(AND($F$11="X",$F$7=3),(Grundtoleranzen!U47)+Grundtoleranzen!$Z47,IF(AND($F$11="X",$F$7=4),(Grundtoleranzen!U47)+Grundtoleranzen!$AA47,IF(AND($F$11="X",$F$7=5),(Grundtoleranzen!U47)+Grundtoleranzen!$AB47,IF(AND($F$11="X",$F$7=6),(Grundtoleranzen!U47)+Grundtoleranzen!$AC47,IF(AND($F$11="X",$F$7=7),(Grundtoleranzen!U47)+Grundtoleranzen!$AD47,IF(AND($F$11="X",$F$7=8),(Grundtoleranzen!U47)+Grundtoleranzen!$AE47,IF(AND($F$11="X",$F$7=9),(Grundtoleranzen!U47),IF(AND($F$11="X",$F$7=10),(Grundtoleranzen!U47),IF(AND($F$11="X",$F$7=11),(Grundtoleranzen!U47),IF(AND($F$11="X",$F$7=12),(Grundtoleranzen!U47),IF(AND($F$11="X",$F$7=13),(Grundtoleranzen!U47),IF(AND($F$11="X",$F$7=14),(Grundtoleranzen!U47),IF(AND($F$11="X",$F$7=15),(Grundtoleranzen!U47),IF(AND($F$11="X",$F$7=16),(Grundtoleranzen!U47),IF(AND($F$11="X",$F$7=17),(Grundtoleranzen!U47),IF(AND($F$11="X",$F$7=18),(Grundtoleranzen!U47),"Error"))))))))))))))))))</f>
        <v>#REF!</v>
      </c>
      <c r="Z15" s="70" t="e">
        <f>IF(AND($F$11="Z",$F$7=1),(Grundtoleranzen!V47),IF(AND($F$11="Z",$F$7=2),(Grundtoleranzen!V47),IF(AND($F$11="Z",$F$7=3),(Grundtoleranzen!V47)+Grundtoleranzen!$Z47,IF(AND($F$11="Z",$F$7=4),(Grundtoleranzen!V47)+Grundtoleranzen!$AA47,IF(AND($F$11="Z",$F$7=5),(Grundtoleranzen!V47)+Grundtoleranzen!$AB47,IF(AND($F$11="Z",$F$7=6),(Grundtoleranzen!V47)+Grundtoleranzen!$AC47,IF(AND($F$11="Z",$F$7=7),(Grundtoleranzen!V47)+Grundtoleranzen!$AD47,IF(AND($F$11="Z",$F$7=8),(Grundtoleranzen!V47),IF(AND($F$11="Z",$F$7=9),(Grundtoleranzen!V47),IF(AND($F$11="Z",$F$7=10),(Grundtoleranzen!V47),IF(AND($F$11="Z",$F$7=11),(Grundtoleranzen!V47),IF(AND($F$11="Z",$F$7=12),(Grundtoleranzen!V47),IF(AND($F$11="Z",$F$7=13),(Grundtoleranzen!V47),IF(AND($F$11="Z",$F$7=14),(Grundtoleranzen!V47),IF(AND($F$11="Z",$F$7=15),(Grundtoleranzen!V47),IF(AND($F$11="Z",$F$7=16),(Grundtoleranzen!V47),IF(AND($F$11="Z",$F$7=17),(Grundtoleranzen!V47),IF(AND($F$11="Z",$F$7=18),(Grundtoleranzen!V47),"Error"))))))))))))))))))</f>
        <v>#REF!</v>
      </c>
      <c r="AA15" s="70" t="e">
        <f>IF(AND($F$11="ZA",$F$7=1),(Grundtoleranzen!W47),IF(AND($F$11="ZA",$F$7=2),(Grundtoleranzen!W47),IF(AND($F$11="ZA",$F$7=3),(Grundtoleranzen!W47)+Grundtoleranzen!$Z47,IF(AND($F$11="ZA",$F$7=4),(Grundtoleranzen!W47)+Grundtoleranzen!$AA47,IF(AND($F$11="ZA",$F$7=5),(Grundtoleranzen!W47)+Grundtoleranzen!$AB47,IF(AND($F$11="ZA",$F$7=6),(Grundtoleranzen!W47)+Grundtoleranzen!$AC47,IF(AND($F$11="ZA",$F$7=7),(Grundtoleranzen!W47)+Grundtoleranzen!$AD47,IF(AND($F$11="ZA",$F$7=8),(Grundtoleranzen!W47),IF(AND($F$11="ZA",$F$7=9),(Grundtoleranzen!W47),IF(AND($F$11="ZA",$F$7=10),(Grundtoleranzen!W47),IF(AND($F$11="ZA",$F$7=11),(Grundtoleranzen!W47),IF(AND($F$11="ZA",$F$7=12),(Grundtoleranzen!W47),IF(AND($F$11="ZA",$F$7=13),(Grundtoleranzen!W47),IF(AND($F$11="ZA",$F$7=14),(Grundtoleranzen!W47),IF(AND($F$11="ZA",$F$7=15),(Grundtoleranzen!W47),IF(AND($F$11="ZA",$F$7=16),(Grundtoleranzen!W47),IF(AND($F$11="ZA",$F$7=17),(Grundtoleranzen!W47),IF(AND($F$11="ZA",$F$7=18),(Grundtoleranzen!W47),"Error"))))))))))))))))))</f>
        <v>#REF!</v>
      </c>
      <c r="AB15" s="70" t="e">
        <f>IF(AND($F$11="ZB",$F$7=1),(Grundtoleranzen!X47),IF(AND($F$11="ZB",$F$7=2),(Grundtoleranzen!X47),IF(AND($F$11="ZB",$F$7=3),(Grundtoleranzen!X47)+Grundtoleranzen!$Z47,IF(AND($F$11="ZB",$F$7=4),(Grundtoleranzen!X47)+Grundtoleranzen!$AA47,IF(AND($F$11="ZB",$F$7=5),(Grundtoleranzen!X47)+Grundtoleranzen!$AB47,IF(AND($F$11="ZB",$F$7=6),(Grundtoleranzen!X47)+Grundtoleranzen!$AC47,IF(AND($F$11="ZB",$F$7=7),(Grundtoleranzen!X47)+Grundtoleranzen!$AD47,IF(AND($F$11="ZB",$F$7=8),(Grundtoleranzen!X47),IF(AND($F$11="ZB",$F$7=9),(Grundtoleranzen!X47),IF(AND($F$11="ZB",$F$7=10),(Grundtoleranzen!X47),IF(AND($F$11="ZB",$F$7=11),(Grundtoleranzen!X47),IF(AND($F$11="ZB",$F$7=12),(Grundtoleranzen!X47),IF(AND($F$11="ZB",$F$7=13),(Grundtoleranzen!X47),IF(AND($F$11="ZB",$F$7=14),(Grundtoleranzen!X47),IF(AND($F$11="ZB",$F$7=15),(Grundtoleranzen!X47),IF(AND($F$11="ZB",$F$7=16),(Grundtoleranzen!X47),IF(AND($F$11="ZB",$F$7=17),(Grundtoleranzen!X47),IF(AND($F$11="ZB",$F$7=18),(Grundtoleranzen!X47),"Error"))))))))))))))))))</f>
        <v>#REF!</v>
      </c>
      <c r="AC15" s="70" t="e">
        <f>IF(AND($F$11="ZC",$F$7=1),(Grundtoleranzen!Y47),IF(AND($F$11="ZC",$F$7=2),(Grundtoleranzen!Y47),IF(AND($F$11="ZC",$F$7=3),(Grundtoleranzen!Y47)+Grundtoleranzen!$Z47,IF(AND($F$11="ZC",$F$7=4),(Grundtoleranzen!Y47)+Grundtoleranzen!$AA47,IF(AND($F$11="ZC",$F$7=5),(Grundtoleranzen!Y47)+Grundtoleranzen!$AB47,IF(AND($F$11="ZC",$F$7=6),(Grundtoleranzen!Y47)+Grundtoleranzen!$AC47,IF(AND($F$11="ZC",$F$7=7),(Grundtoleranzen!Y47)+Grundtoleranzen!$AD47,IF(AND($F$11="ZC",$F$7=8),(Grundtoleranzen!Y47),IF(AND($F$11="ZC",$F$7=9),(Grundtoleranzen!Y47),IF(AND($F$11="ZC",$F$7=10),(Grundtoleranzen!Y47),IF(AND($F$11="ZC",$F$7=11),(Grundtoleranzen!Y47),IF(AND($F$11="ZC",$F$7=12),(Grundtoleranzen!Y47),IF(AND($F$11="ZC",$F$7=13),(Grundtoleranzen!Y47),IF(AND($F$11="ZC",$F$7=14),(Grundtoleranzen!Y47),IF(AND($F$11="ZC",$F$7=15),(Grundtoleranzen!Y47),IF(AND($F$11="ZC",$F$7=16),(Grundtoleranzen!Y47),IF(AND($F$11="ZC",$F$7=17),(Grundtoleranzen!Y47),IF(AND($F$11="ZC",$F$7=18),(Grundtoleranzen!Y47),"Error"))))))))))))))))))</f>
        <v>#REF!</v>
      </c>
    </row>
    <row r="16" spans="1:29" ht="15.75" thickBot="1" x14ac:dyDescent="0.3">
      <c r="A16" s="66">
        <v>14</v>
      </c>
      <c r="B16" s="66" t="s">
        <v>165</v>
      </c>
      <c r="C16" s="66" t="s">
        <v>108</v>
      </c>
      <c r="H16" s="24" t="s">
        <v>81</v>
      </c>
      <c r="I16" s="38" t="e">
        <f>IF(AND(F$7=1),Grundtoleranzen!B17,IF(AND(F$7=2),Grundtoleranzen!C17,IF(AND(F$7=3),Grundtoleranzen!D17,IF(AND(F$7=4),Grundtoleranzen!E17,IF(AND(F$7=5),Grundtoleranzen!F17,IF(AND(F$7=6),Grundtoleranzen!G17,IF(AND(F$7=7),Grundtoleranzen!H17,IF(AND(F$7=8),Grundtoleranzen!I17,IF(AND(F$7=9),Grundtoleranzen!J17,IF(AND(F$7=10),Grundtoleranzen!K17,IF(AND(F$7=11),Grundtoleranzen!L17,IF(AND(F$7=12),Grundtoleranzen!M17,IF(AND(F$7=13),Grundtoleranzen!N17,IF(AND(F$7=14),Grundtoleranzen!O17,IF(AND(F$7=15),Grundtoleranzen!P17,IF(AND(F$7=16),Grundtoleranzen!Q17,IF(AND(F$7=17),Grundtoleranzen!R17,IF(AND(F$7=18),Grundtoleranzen!S17))))))))))))))))))</f>
        <v>#REF!</v>
      </c>
      <c r="K16" s="24" t="s">
        <v>138</v>
      </c>
      <c r="L16" s="68" t="e">
        <f>IF(AND(F$11="C"),Grundtoleranzen!B48,IF(AND(F$11="D"),Grundtoleranzen!C48,IF(AND(F$11="E"),Grundtoleranzen!D48,IF(AND(F$11="F"),Grundtoleranzen!E48,IF(AND(F$11="G"),Grundtoleranzen!F48,IF(AND(F$11="H"),Grundtoleranzen!G48))))))</f>
        <v>#REF!</v>
      </c>
      <c r="M16" s="24" t="s">
        <v>81</v>
      </c>
      <c r="N16" s="70" t="e">
        <f>IF(AND(F$11="JS",F$7=1),(Grundtoleranzen!B17)/2,IF(AND(F$11="JS",F$7=2),(Grundtoleranzen!C17)/2,IF(AND(F$11="JS",F$7=3),(Grundtoleranzen!D17)/2,IF(AND(F$11="JS",F$7=4),(Grundtoleranzen!E17)/2,IF(AND(F$11="JS",F$7=5),(Grundtoleranzen!F17)/2,IF(AND(F$11="JS",F$7=6),(Grundtoleranzen!G17)/2,IF(AND(F$11="JS",F$7=7),(Grundtoleranzen!H17)/2,IF(AND(F$11="JS",F$7=8),(Grundtoleranzen!I17)/2,IF(AND(F$11="JS",F$7=9),(Grundtoleranzen!J17)/2,IF(AND(F$11="JS",F$7=10),(Grundtoleranzen!K17)/2,IF(AND(F$11="JS",F$7=11),(Grundtoleranzen!L17)/2,IF(AND(F$11="JS",F$7=12),(Grundtoleranzen!M17)/2,IF(AND(F$11="JS",F$7=13),(Grundtoleranzen!N17)/2,IF(AND(F$11="JS",F$7=14),(Grundtoleranzen!O17)/2,IF(AND(F$11="JS",F$7=15),(Grundtoleranzen!P17)/2,IF(AND(F$11="JS",F$7=16),(Grundtoleranzen!Q17)/2,IF(AND(F$11="JS",F$7=17),(Grundtoleranzen!R17)/2,IF(AND(F$11="JS",F$7=18),(Grundtoleranzen!S17)/2))))))))))))))))))*-1</f>
        <v>#REF!</v>
      </c>
      <c r="P16" s="70" t="e">
        <f>IF(AND(F$11="J",F$7=6),(Grundtoleranzen!I48),IF(AND(F$11="J",F$7=7),(Grundtoleranzen!J48),IF(AND(F$11="J",F$7=8),(Grundtoleranzen!K48),"Nur IT6-8")))</f>
        <v>#REF!</v>
      </c>
      <c r="Q16" s="83" t="e">
        <f>IF(AND($F$11="K",$F$7=1),(Grundtoleranzen!L48),IF(AND($F$11="K",$F$7=2),(Grundtoleranzen!L48),IF(AND($F$11="K",$F$7=3),(Grundtoleranzen!L48)+Grundtoleranzen!Z48,IF(AND($F$11="K",$F$7=4),(Grundtoleranzen!L48)+Grundtoleranzen!AA48,IF(AND($F$11="K",$F$7=5),(Grundtoleranzen!L48)+Grundtoleranzen!AB48,IF(AND($F$11="K",$F$7=6),(Grundtoleranzen!L48)+Grundtoleranzen!AC48,IF(AND($F$11="K",$F$7=7),(Grundtoleranzen!L48)+Grundtoleranzen!AD48,IF(AND($F$11="K",$F$7=8),(Grundtoleranzen!L48)+Grundtoleranzen!AE48,"Nur IT 1 - 8"))))))))</f>
        <v>#REF!</v>
      </c>
      <c r="R16" s="70" t="e">
        <f>IF(AND($F$11="M",$F$7=1),(Grundtoleranzen!M48),IF(AND($F$11="M",$F$7=2),(Grundtoleranzen!M48),IF(AND($F$11="M",$F$7=3),(Grundtoleranzen!M48)+Grundtoleranzen!$Z48,IF(AND($F$11="M",$F$7=4),(Grundtoleranzen!M48)+Grundtoleranzen!$AA48,IF(AND($F$11="M",$F$7=5),(Grundtoleranzen!M48)+Grundtoleranzen!$AB48,IF(AND($F$11="M",$F$7=6),(Grundtoleranzen!M48)+Grundtoleranzen!$AC48,IF(AND($F$11="M",$F$7=7),(Grundtoleranzen!M48)+Grundtoleranzen!$AD48,IF(AND($F$11="M",$F$7=8),(Grundtoleranzen!M48)+Grundtoleranzen!$AE48,IF(AND($F$11="M",$F$7=9),(Grundtoleranzen!M48),IF(AND($F$11="M",$F$7=10),(Grundtoleranzen!M48),IF(AND($F$11="M",$F$7=11),(Grundtoleranzen!M48),IF(AND($F$11="M",$F$7=12),(Grundtoleranzen!M48),IF(AND($F$11="M",$F$7=13),(Grundtoleranzen!M48),IF(AND($F$11="M",$F$7=14),(Grundtoleranzen!M48),IF(AND($F$11="M",$F$7=15),(Grundtoleranzen!M48),IF(AND($F$11="M",$F$7=16),(Grundtoleranzen!M48),IF(AND($F$11="M",$F$7=17),(Grundtoleranzen!M48),IF(AND($F$11="M",$F$7=18),(Grundtoleranzen!M48),"Error"))))))))))))))))))</f>
        <v>#REF!</v>
      </c>
      <c r="S16" s="70" t="e">
        <f>IF(AND($F$11="N",$F$7=1),(Grundtoleranzen!N48),IF(AND($F$11="N",$F$7=2),(Grundtoleranzen!N48),IF(AND($F$11="N",$F$7=3),(Grundtoleranzen!N48)+Grundtoleranzen!$Z48,IF(AND($F$11="N",$F$7=4),(Grundtoleranzen!N48)+Grundtoleranzen!$AA48,IF(AND($F$11="N",$F$7=5),(Grundtoleranzen!N48)+Grundtoleranzen!$AB48,IF(AND($F$11="N",$F$7=6),(Grundtoleranzen!N48)+Grundtoleranzen!$AC48,IF(AND($F$11="N",$F$7=7),(Grundtoleranzen!N48)+Grundtoleranzen!$AD48,IF(AND($F$11="N",$F$7=8),(Grundtoleranzen!N48)+Grundtoleranzen!$AE48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#REF!</v>
      </c>
      <c r="T16" s="70" t="e">
        <f>IF(AND($F$11="P",$F$7=1),(Grundtoleranzen!P48),IF(AND($F$11="P",$F$7=2),(Grundtoleranzen!P48),IF(AND($F$11="P",$F$7=3),(Grundtoleranzen!P48)+Grundtoleranzen!$Z48,IF(AND($F$11="P",$F$7=4),(Grundtoleranzen!P48)+Grundtoleranzen!$AA48,IF(AND($F$11="P",$F$7=5),(Grundtoleranzen!P48)+Grundtoleranzen!$AB48,IF(AND($F$11="P",$F$7=6),(Grundtoleranzen!P48)+Grundtoleranzen!$AC48,IF(AND($F$11="P",$F$7=7),(Grundtoleranzen!P48)+Grundtoleranzen!$AD48,IF(AND($F$11="P",$F$7=8),(Grundtoleranzen!P48),IF(AND($F$11="P",$F$7=9),(Grundtoleranzen!P48),IF(AND($F$11="P",$F$7=10),(Grundtoleranzen!P48),IF(AND($F$11="P",$F$7=11),(Grundtoleranzen!P48),IF(AND($F$11="P",$F$7=12),(Grundtoleranzen!P48),IF(AND($F$11="P",$F$7=13),(Grundtoleranzen!P48),IF(AND($F$11="P",$F$7=14),(Grundtoleranzen!P48),IF(AND($F$11="P",$F$7=15),(Grundtoleranzen!P48),IF(AND($F$11="P",$F$7=16),(Grundtoleranzen!P48),IF(AND($F$11="P",$F$7=17),(Grundtoleranzen!P48),IF(AND($F$11="P",$F$7=18),(Grundtoleranzen!P48),"Error"))))))))))))))))))</f>
        <v>#REF!</v>
      </c>
      <c r="U16" s="70" t="e">
        <f>IF(AND($F$11="R",$F$7=1),(Grundtoleranzen!Q48),IF(AND($F$11="R",$F$7=2),(Grundtoleranzen!Q48),IF(AND($F$11="R",$F$7=3),(Grundtoleranzen!Q48)+Grundtoleranzen!$Z48,IF(AND($F$11="R",$F$7=4),(Grundtoleranzen!Q48)+Grundtoleranzen!$AA48,IF(AND($F$11="R",$F$7=5),(Grundtoleranzen!Q48)+Grundtoleranzen!$AB48,IF(AND($F$11="R",$F$7=6),(Grundtoleranzen!Q48)+Grundtoleranzen!$AC48,IF(AND($F$11="R",$F$7=7),(Grundtoleranzen!Q48)+Grundtoleranzen!$AD48,IF(AND($F$11="R",$F$7=8),(Grundtoleranzen!Q48)+Grundtoleranzen!$AE48,IF(AND($F$11="R",$F$7=9),(Grundtoleranzen!Q48),IF(AND($F$11="R",$F$7=10),(Grundtoleranzen!Q48),IF(AND($F$11="R",$F$7=11),(Grundtoleranzen!Q48),IF(AND($F$11="R",$F$7=12),(Grundtoleranzen!Q48),IF(AND($F$11="R",$F$7=13),(Grundtoleranzen!Q48),IF(AND($F$11="R",$F$7=14),(Grundtoleranzen!Q48),IF(AND($F$11="R",$F$7=15),(Grundtoleranzen!Q48),IF(AND($F$11="R",$F$7=16),(Grundtoleranzen!Q48),IF(AND($F$11="R",$F$7=17),(Grundtoleranzen!Q48),IF(AND($F$11="R",$F$7=18),(Grundtoleranzen!Q48),"Error"))))))))))))))))))</f>
        <v>#REF!</v>
      </c>
      <c r="V16" s="70" t="e">
        <f>IF(AND($F$11="S",$F$7=1),Grundtoleranzen!R48,IF(AND($F$11="S",$F$7=2),(Grundtoleranzen!R48),IF(AND($F$11="S",$F$7=3),(Grundtoleranzen!R48)+Grundtoleranzen!$Z48,IF(AND($F$11="S",$F$7=4),(Grundtoleranzen!R48)+Grundtoleranzen!$AA48,IF(AND($F$11="S",$F$7=5),(Grundtoleranzen!R48)+Grundtoleranzen!$AB48,IF(AND($F$11="S",$F$7=6),(Grundtoleranzen!R48)+Grundtoleranzen!$AC48,IF(AND($F$11="S",$F$7=7),(Grundtoleranzen!R48)+Grundtoleranzen!$AD48,IF(AND($F$11="S",$F$7=8),(Grundtoleranzen!R48),IF(AND($F$11="S",$F$7=9),(Grundtoleranzen!R48),IF(AND($F$11="S",$F$7=10),(Grundtoleranzen!R48),IF(AND($F$11="S",$F$7=11),(Grundtoleranzen!R48),IF(AND($F$11="S",$F$7=12),(Grundtoleranzen!R48),IF(AND($F$11="S",$F$7=13),(Grundtoleranzen!R48),IF(AND($F$11="S",$F$7=14),(Grundtoleranzen!R48),IF(AND($F$11="S",$F$7=15),(Grundtoleranzen!R48),IF(AND($F$11="S",$F$7=16),(Grundtoleranzen!R48),IF(AND($F$11="S",$F$7=17),(Grundtoleranzen!R48),IF(AND($F$11="S",$F$7=18),(Grundtoleranzen!R48),"Error"))))))))))))))))))</f>
        <v>#REF!</v>
      </c>
      <c r="W16" s="70" t="e">
        <f>IF(AND($F$11="T",$F$7=1),(Grundtoleranzen!S48),IF(AND($F$11="T",$F$7=2),(Grundtoleranzen!S48),IF(AND($F$11="T",$F$7=3),(Grundtoleranzen!S48)+Grundtoleranzen!$Z48,IF(AND($F$11="T",$F$7=4),(Grundtoleranzen!S48)+Grundtoleranzen!$AA48,IF(AND($F$11="T",$F$7=5),(Grundtoleranzen!S48)+Grundtoleranzen!$AB48,IF(AND($F$11="T",$F$7=6),(Grundtoleranzen!S48)+Grundtoleranzen!$AC48,IF(AND($F$11="T",$F$7=7),(Grundtoleranzen!S48)+Grundtoleranzen!$AD48,IF(AND($F$11="T",$F$7=8),(Grundtoleranzen!S48),IF(AND($F$11="T",$F$7=9),(Grundtoleranzen!S48),IF(AND($F$11="T",$F$7=10),(Grundtoleranzen!S48),IF(AND($F$11="T",$F$7=11),(Grundtoleranzen!S48),IF(AND($F$11="T",$F$7=12),(Grundtoleranzen!S48),IF(AND($F$11="T",$F$7=13),(Grundtoleranzen!S48),IF(AND($F$11="T",$F$7=14),(Grundtoleranzen!S48),IF(AND($F$11="T",$F$7=15),(Grundtoleranzen!S48),IF(AND($F$11="T",$F$7=16),(Grundtoleranzen!S48),IF(AND($F$11="T",$F$7=17),(Grundtoleranzen!S48),IF(AND($F$11="T",$F$7=18),(Grundtoleranzen!S48),"Error"))))))))))))))))))</f>
        <v>#REF!</v>
      </c>
      <c r="X16" s="70" t="e">
        <f>IF(AND($F$11="U",$F$7=1),(Grundtoleranzen!T48),IF(AND($F$11="U",$F$7=2),(Grundtoleranzen!T48),IF(AND($F$11="U",$F$7=3),(Grundtoleranzen!T48)+Grundtoleranzen!$Z48,IF(AND($F$11="U",$F$7=4),(Grundtoleranzen!T48)+Grundtoleranzen!$AA48,IF(AND($F$11="U",$F$7=5),(Grundtoleranzen!T48)+Grundtoleranzen!$AB48,IF(AND($F$11="U",$F$7=6),(Grundtoleranzen!T48)+Grundtoleranzen!$AC48,IF(AND($F$11="U",$F$7=7),(Grundtoleranzen!T48)+Grundtoleranzen!$AD48,IF(AND($F$11="U",$F$7=8),(Grundtoleranzen!T48),IF(AND($F$11="U",$F$7=9),(Grundtoleranzen!T48),IF(AND($F$11="U",$F$7=10),(Grundtoleranzen!T48),IF(AND($F$11="U",$F$7=11),(Grundtoleranzen!T48),IF(AND($F$11="U",$F$7=12),(Grundtoleranzen!T48),IF(AND($F$11="U",$F$7=13),(Grundtoleranzen!T48),IF(AND($F$11="U",$F$7=14),(Grundtoleranzen!T48),IF(AND($F$11="U",$F$7=15),(Grundtoleranzen!T48),IF(AND($F$11="U",$F$7=16),(Grundtoleranzen!T48),IF(AND($F$11="U",$F$7=17),(Grundtoleranzen!T48),IF(AND($F$11="U",$F$7=18),(Grundtoleranzen!T48),"Error"))))))))))))))))))</f>
        <v>#REF!</v>
      </c>
      <c r="Y16" s="70" t="e">
        <f>IF(AND($F$11="X",$F$7=1),(Grundtoleranzen!U48),IF(AND($F$11="X",$F$7=2),(Grundtoleranzen!U48),IF(AND($F$11="X",$F$7=3),(Grundtoleranzen!U48)+Grundtoleranzen!$Z48,IF(AND($F$11="X",$F$7=4),(Grundtoleranzen!U48)+Grundtoleranzen!$AA48,IF(AND($F$11="X",$F$7=5),(Grundtoleranzen!U48)+Grundtoleranzen!$AB48,IF(AND($F$11="X",$F$7=6),(Grundtoleranzen!U48)+Grundtoleranzen!$AC48,IF(AND($F$11="X",$F$7=7),(Grundtoleranzen!U48)+Grundtoleranzen!$AD48,IF(AND($F$11="X",$F$7=8),(Grundtoleranzen!U48)+Grundtoleranzen!$AE48,IF(AND($F$11="X",$F$7=9),(Grundtoleranzen!U48),IF(AND($F$11="X",$F$7=10),(Grundtoleranzen!U48),IF(AND($F$11="X",$F$7=11),(Grundtoleranzen!U48),IF(AND($F$11="X",$F$7=12),(Grundtoleranzen!U48),IF(AND($F$11="X",$F$7=13),(Grundtoleranzen!U48),IF(AND($F$11="X",$F$7=14),(Grundtoleranzen!U48),IF(AND($F$11="X",$F$7=15),(Grundtoleranzen!U48),IF(AND($F$11="X",$F$7=16),(Grundtoleranzen!U48),IF(AND($F$11="X",$F$7=17),(Grundtoleranzen!U48),IF(AND($F$11="X",$F$7=18),(Grundtoleranzen!U48),"Error"))))))))))))))))))</f>
        <v>#REF!</v>
      </c>
      <c r="Z16" s="70" t="e">
        <f>IF(AND($F$11="Z",$F$7=1),(Grundtoleranzen!V48),IF(AND($F$11="Z",$F$7=2),(Grundtoleranzen!V48),IF(AND($F$11="Z",$F$7=3),(Grundtoleranzen!V48)+Grundtoleranzen!$Z48,IF(AND($F$11="Z",$F$7=4),(Grundtoleranzen!V48)+Grundtoleranzen!$AA48,IF(AND($F$11="Z",$F$7=5),(Grundtoleranzen!V48)+Grundtoleranzen!$AB48,IF(AND($F$11="Z",$F$7=6),(Grundtoleranzen!V48)+Grundtoleranzen!$AC48,IF(AND($F$11="Z",$F$7=7),(Grundtoleranzen!V48)+Grundtoleranzen!$AD48,IF(AND($F$11="Z",$F$7=8),(Grundtoleranzen!V48),IF(AND($F$11="Z",$F$7=9),(Grundtoleranzen!V48),IF(AND($F$11="Z",$F$7=10),(Grundtoleranzen!V48),IF(AND($F$11="Z",$F$7=11),(Grundtoleranzen!V48),IF(AND($F$11="Z",$F$7=12),(Grundtoleranzen!V48),IF(AND($F$11="Z",$F$7=13),(Grundtoleranzen!V48),IF(AND($F$11="Z",$F$7=14),(Grundtoleranzen!V48),IF(AND($F$11="Z",$F$7=15),(Grundtoleranzen!V48),IF(AND($F$11="Z",$F$7=16),(Grundtoleranzen!V48),IF(AND($F$11="Z",$F$7=17),(Grundtoleranzen!V48),IF(AND($F$11="Z",$F$7=18),(Grundtoleranzen!V48),"Error"))))))))))))))))))</f>
        <v>#REF!</v>
      </c>
      <c r="AA16" s="70" t="e">
        <f>IF(AND($F$11="ZA",$F$7=1),(Grundtoleranzen!W48),IF(AND($F$11="ZA",$F$7=2),(Grundtoleranzen!W48),IF(AND($F$11="ZA",$F$7=3),(Grundtoleranzen!W48)+Grundtoleranzen!$Z48,IF(AND($F$11="ZA",$F$7=4),(Grundtoleranzen!W48)+Grundtoleranzen!$AA48,IF(AND($F$11="ZA",$F$7=5),(Grundtoleranzen!W48)+Grundtoleranzen!$AB48,IF(AND($F$11="ZA",$F$7=6),(Grundtoleranzen!W48)+Grundtoleranzen!$AC48,IF(AND($F$11="ZA",$F$7=7),(Grundtoleranzen!W48)+Grundtoleranzen!$AD48,IF(AND($F$11="ZA",$F$7=8),(Grundtoleranzen!W48),IF(AND($F$11="ZA",$F$7=9),(Grundtoleranzen!W48),IF(AND($F$11="ZA",$F$7=10),(Grundtoleranzen!W48),IF(AND($F$11="ZA",$F$7=11),(Grundtoleranzen!W48),IF(AND($F$11="ZA",$F$7=12),(Grundtoleranzen!W48),IF(AND($F$11="ZA",$F$7=13),(Grundtoleranzen!W48),IF(AND($F$11="ZA",$F$7=14),(Grundtoleranzen!W48),IF(AND($F$11="ZA",$F$7=15),(Grundtoleranzen!W48),IF(AND($F$11="ZA",$F$7=16),(Grundtoleranzen!W48),IF(AND($F$11="ZA",$F$7=17),(Grundtoleranzen!W48),IF(AND($F$11="ZA",$F$7=18),(Grundtoleranzen!W48),"Error"))))))))))))))))))</f>
        <v>#REF!</v>
      </c>
      <c r="AB16" s="70" t="e">
        <f>IF(AND($F$11="ZB",$F$7=1),(Grundtoleranzen!X48),IF(AND($F$11="ZB",$F$7=2),(Grundtoleranzen!X48),IF(AND($F$11="ZB",$F$7=3),(Grundtoleranzen!X48)+Grundtoleranzen!$Z48,IF(AND($F$11="ZB",$F$7=4),(Grundtoleranzen!X48)+Grundtoleranzen!$AA48,IF(AND($F$11="ZB",$F$7=5),(Grundtoleranzen!X48)+Grundtoleranzen!$AB48,IF(AND($F$11="ZB",$F$7=6),(Grundtoleranzen!X48)+Grundtoleranzen!$AC48,IF(AND($F$11="ZB",$F$7=7),(Grundtoleranzen!X48)+Grundtoleranzen!$AD48,IF(AND($F$11="ZB",$F$7=8),(Grundtoleranzen!X48),IF(AND($F$11="ZB",$F$7=9),(Grundtoleranzen!X48),IF(AND($F$11="ZB",$F$7=10),(Grundtoleranzen!X48),IF(AND($F$11="ZB",$F$7=11),(Grundtoleranzen!X48),IF(AND($F$11="ZB",$F$7=12),(Grundtoleranzen!X48),IF(AND($F$11="ZB",$F$7=13),(Grundtoleranzen!X48),IF(AND($F$11="ZB",$F$7=14),(Grundtoleranzen!X48),IF(AND($F$11="ZB",$F$7=15),(Grundtoleranzen!X48),IF(AND($F$11="ZB",$F$7=16),(Grundtoleranzen!X48),IF(AND($F$11="ZB",$F$7=17),(Grundtoleranzen!X48),IF(AND($F$11="ZB",$F$7=18),(Grundtoleranzen!X48),"Error"))))))))))))))))))</f>
        <v>#REF!</v>
      </c>
      <c r="AC16" s="70" t="e">
        <f>IF(AND($F$11="ZC",$F$7=1),(Grundtoleranzen!Y48),IF(AND($F$11="ZC",$F$7=2),(Grundtoleranzen!Y48),IF(AND($F$11="ZC",$F$7=3),(Grundtoleranzen!Y48)+Grundtoleranzen!$Z48,IF(AND($F$11="ZC",$F$7=4),(Grundtoleranzen!Y48)+Grundtoleranzen!$AA48,IF(AND($F$11="ZC",$F$7=5),(Grundtoleranzen!Y48)+Grundtoleranzen!$AB48,IF(AND($F$11="ZC",$F$7=6),(Grundtoleranzen!Y48)+Grundtoleranzen!$AC48,IF(AND($F$11="ZC",$F$7=7),(Grundtoleranzen!Y48)+Grundtoleranzen!$AD48,IF(AND($F$11="ZC",$F$7=8),(Grundtoleranzen!Y48),IF(AND($F$11="ZC",$F$7=9),(Grundtoleranzen!Y48),IF(AND($F$11="ZC",$F$7=10),(Grundtoleranzen!Y48),IF(AND($F$11="ZC",$F$7=11),(Grundtoleranzen!Y48),IF(AND($F$11="ZC",$F$7=12),(Grundtoleranzen!Y48),IF(AND($F$11="ZC",$F$7=13),(Grundtoleranzen!Y48),IF(AND($F$11="ZC",$F$7=14),(Grundtoleranzen!Y48),IF(AND($F$11="ZC",$F$7=15),(Grundtoleranzen!Y48),IF(AND($F$11="ZC",$F$7=16),(Grundtoleranzen!Y48),IF(AND($F$11="ZC",$F$7=17),(Grundtoleranzen!Y48),IF(AND($F$11="ZC",$F$7=18),(Grundtoleranzen!Y48),"Error"))))))))))))))))))</f>
        <v>#REF!</v>
      </c>
    </row>
    <row r="17" spans="1:29" ht="15.75" thickBot="1" x14ac:dyDescent="0.3">
      <c r="A17" s="66">
        <v>15</v>
      </c>
      <c r="B17" s="66" t="s">
        <v>166</v>
      </c>
      <c r="C17" s="66" t="s">
        <v>109</v>
      </c>
      <c r="E17" s="274" t="s">
        <v>185</v>
      </c>
      <c r="F17" s="277"/>
      <c r="H17" s="24" t="s">
        <v>82</v>
      </c>
      <c r="I17" s="38" t="e">
        <f>IF(AND(F$7=1),Grundtoleranzen!B18,IF(AND(F$7=2),Grundtoleranzen!C18,IF(AND(F$7=3),Grundtoleranzen!D18,IF(AND(F$7=4),Grundtoleranzen!E18,IF(AND(F$7=5),Grundtoleranzen!F18,IF(AND(F$7=6),Grundtoleranzen!G18,IF(AND(F$7=7),Grundtoleranzen!H18,IF(AND(F$7=8),Grundtoleranzen!I18,IF(AND(F$7=9),Grundtoleranzen!J18,IF(AND(F$7=10),Grundtoleranzen!K18,IF(AND(F$7=11),Grundtoleranzen!L18,IF(AND(F$7=12),Grundtoleranzen!M18,IF(AND(F$7=13),Grundtoleranzen!N18,IF(AND(F$7=14),Grundtoleranzen!O18,IF(AND(F$7=15),Grundtoleranzen!P18,IF(AND(F$7=16),Grundtoleranzen!Q18,IF(AND(F$7=17),Grundtoleranzen!R18,IF(AND(F$7=18),Grundtoleranzen!S18))))))))))))))))))</f>
        <v>#REF!</v>
      </c>
      <c r="K17" s="24" t="s">
        <v>139</v>
      </c>
      <c r="L17" s="68" t="e">
        <f>IF(AND(F$11="C"),Grundtoleranzen!B49,IF(AND(F$11="D"),Grundtoleranzen!C49,IF(AND(F$11="E"),Grundtoleranzen!D49,IF(AND(F$11="F"),Grundtoleranzen!E49,IF(AND(F$11="G"),Grundtoleranzen!F49,IF(AND(F$11="H"),Grundtoleranzen!G49))))))</f>
        <v>#REF!</v>
      </c>
      <c r="M17" s="24" t="s">
        <v>82</v>
      </c>
      <c r="N17" s="70" t="e">
        <f>IF(AND(F$11="JS",F$7=1),(Grundtoleranzen!B18)/2,IF(AND(F$11="JS",F$7=2),(Grundtoleranzen!C18)/2,IF(AND(F$11="JS",F$7=3),(Grundtoleranzen!D18)/2,IF(AND(F$11="JS",F$7=4),(Grundtoleranzen!E18)/2,IF(AND(F$11="JS",F$7=5),(Grundtoleranzen!F18)/2,IF(AND(F$11="JS",F$7=6),(Grundtoleranzen!G18)/2,IF(AND(F$11="JS",F$7=7),(Grundtoleranzen!H18)/2,IF(AND(F$11="JS",F$7=8),(Grundtoleranzen!I18)/2,IF(AND(F$11="JS",F$7=9),(Grundtoleranzen!J18)/2,IF(AND(F$11="JS",F$7=10),(Grundtoleranzen!K18)/2,IF(AND(F$11="JS",F$7=11),(Grundtoleranzen!L18)/2,IF(AND(F$11="JS",F$7=12),(Grundtoleranzen!M18)/2,IF(AND(F$11="JS",F$7=13),(Grundtoleranzen!N18)/2,IF(AND(F$11="JS",F$7=14),(Grundtoleranzen!O18)/2,IF(AND(F$11="JS",F$7=15),(Grundtoleranzen!P18)/2,IF(AND(F$11="JS",F$7=16),(Grundtoleranzen!Q18)/2,IF(AND(F$11="JS",F$7=17),(Grundtoleranzen!R18)/2,IF(AND(F$11="JS",F$7=18),(Grundtoleranzen!S18)/2))))))))))))))))))*-1</f>
        <v>#REF!</v>
      </c>
      <c r="P17" s="70" t="e">
        <f>IF(AND(F$11="J",F$7=6),(Grundtoleranzen!I49),IF(AND(F$11="J",F$7=7),(Grundtoleranzen!J49),IF(AND(F$11="J",F$7=8),(Grundtoleranzen!K49),"Nur IT6-8")))</f>
        <v>#REF!</v>
      </c>
      <c r="Q17" s="83" t="e">
        <f>IF(AND($F$11="K",$F$7=1),(Grundtoleranzen!L49),IF(AND($F$11="K",$F$7=2),(Grundtoleranzen!L49),IF(AND($F$11="K",$F$7=3),(Grundtoleranzen!L49)+Grundtoleranzen!Z49,IF(AND($F$11="K",$F$7=4),(Grundtoleranzen!L49)+Grundtoleranzen!AA49,IF(AND($F$11="K",$F$7=5),(Grundtoleranzen!L49)+Grundtoleranzen!AB49,IF(AND($F$11="K",$F$7=6),(Grundtoleranzen!L49)+Grundtoleranzen!AC49,IF(AND($F$11="K",$F$7=7),(Grundtoleranzen!L49)+Grundtoleranzen!AD49,IF(AND($F$11="K",$F$7=8),(Grundtoleranzen!L49)+Grundtoleranzen!AE49,"Nur IT 1 - 8"))))))))</f>
        <v>#REF!</v>
      </c>
      <c r="R17" s="70" t="e">
        <f>IF(AND($F$11="M",$F$7=1),(Grundtoleranzen!M49),IF(AND($F$11="M",$F$7=2),(Grundtoleranzen!M49),IF(AND($F$11="M",$F$7=3),(Grundtoleranzen!M49)+Grundtoleranzen!$Z49,IF(AND($F$11="M",$F$7=4),(Grundtoleranzen!M49)+Grundtoleranzen!$AA49,IF(AND($F$11="M",$F$7=5),(Grundtoleranzen!M49)+Grundtoleranzen!$AB49,IF(AND($F$11="M",$F$7=6),(Grundtoleranzen!M49)+Grundtoleranzen!$AC49,IF(AND($F$11="M",$F$7=7),(Grundtoleranzen!M49)+Grundtoleranzen!$AD49,IF(AND($F$11="M",$F$7=8),(Grundtoleranzen!M49)+Grundtoleranzen!$AE49,IF(AND($F$11="M",$F$7=9),(Grundtoleranzen!M49),IF(AND($F$11="M",$F$7=10),(Grundtoleranzen!M49),IF(AND($F$11="M",$F$7=11),(Grundtoleranzen!M49),IF(AND($F$11="M",$F$7=12),(Grundtoleranzen!M49),IF(AND($F$11="M",$F$7=13),(Grundtoleranzen!M49),IF(AND($F$11="M",$F$7=14),(Grundtoleranzen!M49),IF(AND($F$11="M",$F$7=15),(Grundtoleranzen!M49),IF(AND($F$11="M",$F$7=16),(Grundtoleranzen!M49),IF(AND($F$11="M",$F$7=17),(Grundtoleranzen!M49),IF(AND($F$11="M",$F$7=18),(Grundtoleranzen!M49),"Error"))))))))))))))))))</f>
        <v>#REF!</v>
      </c>
      <c r="S17" s="70" t="e">
        <f>IF(AND($F$11="N",$F$7=1),(Grundtoleranzen!N49),IF(AND($F$11="N",$F$7=2),(Grundtoleranzen!N49),IF(AND($F$11="N",$F$7=3),(Grundtoleranzen!N49)+Grundtoleranzen!$Z49,IF(AND($F$11="N",$F$7=4),(Grundtoleranzen!N49)+Grundtoleranzen!$AA49,IF(AND($F$11="N",$F$7=5),(Grundtoleranzen!N49)+Grundtoleranzen!$AB49,IF(AND($F$11="N",$F$7=6),(Grundtoleranzen!N49)+Grundtoleranzen!$AC49,IF(AND($F$11="N",$F$7=7),(Grundtoleranzen!N49)+Grundtoleranzen!$AD49,IF(AND($F$11="N",$F$7=8),(Grundtoleranzen!N49)+Grundtoleranzen!$AE49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#REF!</v>
      </c>
      <c r="T17" s="70" t="e">
        <f>IF(AND($F$11="P",$F$7=1),(Grundtoleranzen!P49),IF(AND($F$11="P",$F$7=2),(Grundtoleranzen!P49),IF(AND($F$11="P",$F$7=3),(Grundtoleranzen!P49)+Grundtoleranzen!$Z49,IF(AND($F$11="P",$F$7=4),(Grundtoleranzen!P49)+Grundtoleranzen!$AA49,IF(AND($F$11="P",$F$7=5),(Grundtoleranzen!P49)+Grundtoleranzen!$AB49,IF(AND($F$11="P",$F$7=6),(Grundtoleranzen!P49)+Grundtoleranzen!$AC49,IF(AND($F$11="P",$F$7=7),(Grundtoleranzen!P49)+Grundtoleranzen!$AD49,IF(AND($F$11="P",$F$7=8),(Grundtoleranzen!P49),IF(AND($F$11="P",$F$7=9),(Grundtoleranzen!P49),IF(AND($F$11="P",$F$7=10),(Grundtoleranzen!P49),IF(AND($F$11="P",$F$7=11),(Grundtoleranzen!P49),IF(AND($F$11="P",$F$7=12),(Grundtoleranzen!P49),IF(AND($F$11="P",$F$7=13),(Grundtoleranzen!P49),IF(AND($F$11="P",$F$7=14),(Grundtoleranzen!P49),IF(AND($F$11="P",$F$7=15),(Grundtoleranzen!P49),IF(AND($F$11="P",$F$7=16),(Grundtoleranzen!P49),IF(AND($F$11="P",$F$7=17),(Grundtoleranzen!P49),IF(AND($F$11="P",$F$7=18),(Grundtoleranzen!P49),"Error"))))))))))))))))))</f>
        <v>#REF!</v>
      </c>
      <c r="U17" s="70" t="e">
        <f>IF(AND($F$11="R",$F$7=1),(Grundtoleranzen!Q49),IF(AND($F$11="R",$F$7=2),(Grundtoleranzen!Q49),IF(AND($F$11="R",$F$7=3),(Grundtoleranzen!Q49)+Grundtoleranzen!$Z49,IF(AND($F$11="R",$F$7=4),(Grundtoleranzen!Q49)+Grundtoleranzen!$AA49,IF(AND($F$11="R",$F$7=5),(Grundtoleranzen!Q49)+Grundtoleranzen!$AB49,IF(AND($F$11="R",$F$7=6),(Grundtoleranzen!Q49)+Grundtoleranzen!$AC49,IF(AND($F$11="R",$F$7=7),(Grundtoleranzen!Q49)+Grundtoleranzen!$AD49,IF(AND($F$11="R",$F$7=8),(Grundtoleranzen!Q49)+Grundtoleranzen!$AE49,IF(AND($F$11="R",$F$7=9),(Grundtoleranzen!Q49),IF(AND($F$11="R",$F$7=10),(Grundtoleranzen!Q49),IF(AND($F$11="R",$F$7=11),(Grundtoleranzen!Q49),IF(AND($F$11="R",$F$7=12),(Grundtoleranzen!Q49),IF(AND($F$11="R",$F$7=13),(Grundtoleranzen!Q49),IF(AND($F$11="R",$F$7=14),(Grundtoleranzen!Q49),IF(AND($F$11="R",$F$7=15),(Grundtoleranzen!Q49),IF(AND($F$11="R",$F$7=16),(Grundtoleranzen!Q49),IF(AND($F$11="R",$F$7=17),(Grundtoleranzen!Q49),IF(AND($F$11="R",$F$7=18),(Grundtoleranzen!Q49),"Error"))))))))))))))))))</f>
        <v>#REF!</v>
      </c>
      <c r="V17" s="70" t="e">
        <f>IF(AND($F$11="S",$F$7=1),Grundtoleranzen!R49,IF(AND($F$11="S",$F$7=2),(Grundtoleranzen!R49),IF(AND($F$11="S",$F$7=3),(Grundtoleranzen!R49)+Grundtoleranzen!$Z49,IF(AND($F$11="S",$F$7=4),(Grundtoleranzen!R49)+Grundtoleranzen!$AA49,IF(AND($F$11="S",$F$7=5),(Grundtoleranzen!R49)+Grundtoleranzen!$AB49,IF(AND($F$11="S",$F$7=6),(Grundtoleranzen!R49)+Grundtoleranzen!$AC49,IF(AND($F$11="S",$F$7=7),(Grundtoleranzen!R49)+Grundtoleranzen!$AD49,IF(AND($F$11="S",$F$7=8),(Grundtoleranzen!R49),IF(AND($F$11="S",$F$7=9),(Grundtoleranzen!R49),IF(AND($F$11="S",$F$7=10),(Grundtoleranzen!R49),IF(AND($F$11="S",$F$7=11),(Grundtoleranzen!R49),IF(AND($F$11="S",$F$7=12),(Grundtoleranzen!R49),IF(AND($F$11="S",$F$7=13),(Grundtoleranzen!R49),IF(AND($F$11="S",$F$7=14),(Grundtoleranzen!R49),IF(AND($F$11="S",$F$7=15),(Grundtoleranzen!R49),IF(AND($F$11="S",$F$7=16),(Grundtoleranzen!R49),IF(AND($F$11="S",$F$7=17),(Grundtoleranzen!R49),IF(AND($F$11="S",$F$7=18),(Grundtoleranzen!R49),"Error"))))))))))))))))))</f>
        <v>#REF!</v>
      </c>
      <c r="W17" s="70" t="e">
        <f>IF(AND($F$11="T",$F$7=1),(Grundtoleranzen!S49),IF(AND($F$11="T",$F$7=2),(Grundtoleranzen!S49),IF(AND($F$11="T",$F$7=3),(Grundtoleranzen!S49)+Grundtoleranzen!$Z49,IF(AND($F$11="T",$F$7=4),(Grundtoleranzen!S49)+Grundtoleranzen!$AA49,IF(AND($F$11="T",$F$7=5),(Grundtoleranzen!S49)+Grundtoleranzen!$AB49,IF(AND($F$11="T",$F$7=6),(Grundtoleranzen!S49)+Grundtoleranzen!$AC49,IF(AND($F$11="T",$F$7=7),(Grundtoleranzen!S49)+Grundtoleranzen!$AD49,IF(AND($F$11="T",$F$7=8),(Grundtoleranzen!S49),IF(AND($F$11="T",$F$7=9),(Grundtoleranzen!S49),IF(AND($F$11="T",$F$7=10),(Grundtoleranzen!S49),IF(AND($F$11="T",$F$7=11),(Grundtoleranzen!S49),IF(AND($F$11="T",$F$7=12),(Grundtoleranzen!S49),IF(AND($F$11="T",$F$7=13),(Grundtoleranzen!S49),IF(AND($F$11="T",$F$7=14),(Grundtoleranzen!S49),IF(AND($F$11="T",$F$7=15),(Grundtoleranzen!S49),IF(AND($F$11="T",$F$7=16),(Grundtoleranzen!S49),IF(AND($F$11="T",$F$7=17),(Grundtoleranzen!S49),IF(AND($F$11="T",$F$7=18),(Grundtoleranzen!S49),"Error"))))))))))))))))))</f>
        <v>#REF!</v>
      </c>
      <c r="X17" s="70" t="e">
        <f>IF(AND($F$11="U",$F$7=1),(Grundtoleranzen!T49),IF(AND($F$11="U",$F$7=2),(Grundtoleranzen!T49),IF(AND($F$11="U",$F$7=3),(Grundtoleranzen!T49)+Grundtoleranzen!$Z49,IF(AND($F$11="U",$F$7=4),(Grundtoleranzen!T49)+Grundtoleranzen!$AA49,IF(AND($F$11="U",$F$7=5),(Grundtoleranzen!T49)+Grundtoleranzen!$AB49,IF(AND($F$11="U",$F$7=6),(Grundtoleranzen!T49)+Grundtoleranzen!$AC49,IF(AND($F$11="U",$F$7=7),(Grundtoleranzen!T49)+Grundtoleranzen!$AD49,IF(AND($F$11="U",$F$7=8),(Grundtoleranzen!T49),IF(AND($F$11="U",$F$7=9),(Grundtoleranzen!T49),IF(AND($F$11="U",$F$7=10),(Grundtoleranzen!T49),IF(AND($F$11="U",$F$7=11),(Grundtoleranzen!T49),IF(AND($F$11="U",$F$7=12),(Grundtoleranzen!T49),IF(AND($F$11="U",$F$7=13),(Grundtoleranzen!T49),IF(AND($F$11="U",$F$7=14),(Grundtoleranzen!T49),IF(AND($F$11="U",$F$7=15),(Grundtoleranzen!T49),IF(AND($F$11="U",$F$7=16),(Grundtoleranzen!T49),IF(AND($F$11="U",$F$7=17),(Grundtoleranzen!T49),IF(AND($F$11="U",$F$7=18),(Grundtoleranzen!T49),"Error"))))))))))))))))))</f>
        <v>#REF!</v>
      </c>
      <c r="Y17" s="70" t="e">
        <f>IF(AND($F$11="X",$F$7=1),(Grundtoleranzen!U49),IF(AND($F$11="X",$F$7=2),(Grundtoleranzen!U49),IF(AND($F$11="X",$F$7=3),(Grundtoleranzen!U49)+Grundtoleranzen!$Z49,IF(AND($F$11="X",$F$7=4),(Grundtoleranzen!U49)+Grundtoleranzen!$AA49,IF(AND($F$11="X",$F$7=5),(Grundtoleranzen!U49)+Grundtoleranzen!$AB49,IF(AND($F$11="X",$F$7=6),(Grundtoleranzen!U49)+Grundtoleranzen!$AC49,IF(AND($F$11="X",$F$7=7),(Grundtoleranzen!U49)+Grundtoleranzen!$AD49,IF(AND($F$11="X",$F$7=8),(Grundtoleranzen!U49)+Grundtoleranzen!$AE49,IF(AND($F$11="X",$F$7=9),(Grundtoleranzen!U49),IF(AND($F$11="X",$F$7=10),(Grundtoleranzen!U49),IF(AND($F$11="X",$F$7=11),(Grundtoleranzen!U49),IF(AND($F$11="X",$F$7=12),(Grundtoleranzen!U49),IF(AND($F$11="X",$F$7=13),(Grundtoleranzen!U49),IF(AND($F$11="X",$F$7=14),(Grundtoleranzen!U49),IF(AND($F$11="X",$F$7=15),(Grundtoleranzen!U49),IF(AND($F$11="X",$F$7=16),(Grundtoleranzen!U49),IF(AND($F$11="X",$F$7=17),(Grundtoleranzen!U49),IF(AND($F$11="X",$F$7=18),(Grundtoleranzen!U49),"Error"))))))))))))))))))</f>
        <v>#REF!</v>
      </c>
      <c r="Z17" s="70" t="e">
        <f>IF(AND($F$11="Z",$F$7=1),(Grundtoleranzen!V49),IF(AND($F$11="Z",$F$7=2),(Grundtoleranzen!V49),IF(AND($F$11="Z",$F$7=3),(Grundtoleranzen!V49)+Grundtoleranzen!$Z49,IF(AND($F$11="Z",$F$7=4),(Grundtoleranzen!V49)+Grundtoleranzen!$AA49,IF(AND($F$11="Z",$F$7=5),(Grundtoleranzen!V49)+Grundtoleranzen!$AB49,IF(AND($F$11="Z",$F$7=6),(Grundtoleranzen!V49)+Grundtoleranzen!$AC49,IF(AND($F$11="Z",$F$7=7),(Grundtoleranzen!V49)+Grundtoleranzen!$AD49,IF(AND($F$11="Z",$F$7=8),(Grundtoleranzen!V49),IF(AND($F$11="Z",$F$7=9),(Grundtoleranzen!V49),IF(AND($F$11="Z",$F$7=10),(Grundtoleranzen!V49),IF(AND($F$11="Z",$F$7=11),(Grundtoleranzen!V49),IF(AND($F$11="Z",$F$7=12),(Grundtoleranzen!V49),IF(AND($F$11="Z",$F$7=13),(Grundtoleranzen!V49),IF(AND($F$11="Z",$F$7=14),(Grundtoleranzen!V49),IF(AND($F$11="Z",$F$7=15),(Grundtoleranzen!V49),IF(AND($F$11="Z",$F$7=16),(Grundtoleranzen!V49),IF(AND($F$11="Z",$F$7=17),(Grundtoleranzen!V49),IF(AND($F$11="Z",$F$7=18),(Grundtoleranzen!V49),"Error"))))))))))))))))))</f>
        <v>#REF!</v>
      </c>
      <c r="AA17" s="70" t="e">
        <f>IF(AND($F$11="ZA",$F$7=1),(Grundtoleranzen!W49),IF(AND($F$11="ZA",$F$7=2),(Grundtoleranzen!W49),IF(AND($F$11="ZA",$F$7=3),(Grundtoleranzen!W49)+Grundtoleranzen!$Z49,IF(AND($F$11="ZA",$F$7=4),(Grundtoleranzen!W49)+Grundtoleranzen!$AA49,IF(AND($F$11="ZA",$F$7=5),(Grundtoleranzen!W49)+Grundtoleranzen!$AB49,IF(AND($F$11="ZA",$F$7=6),(Grundtoleranzen!W49)+Grundtoleranzen!$AC49,IF(AND($F$11="ZA",$F$7=7),(Grundtoleranzen!W49)+Grundtoleranzen!$AD49,IF(AND($F$11="ZA",$F$7=8),(Grundtoleranzen!W49),IF(AND($F$11="ZA",$F$7=9),(Grundtoleranzen!W49),IF(AND($F$11="ZA",$F$7=10),(Grundtoleranzen!W49),IF(AND($F$11="ZA",$F$7=11),(Grundtoleranzen!W49),IF(AND($F$11="ZA",$F$7=12),(Grundtoleranzen!W49),IF(AND($F$11="ZA",$F$7=13),(Grundtoleranzen!W49),IF(AND($F$11="ZA",$F$7=14),(Grundtoleranzen!W49),IF(AND($F$11="ZA",$F$7=15),(Grundtoleranzen!W49),IF(AND($F$11="ZA",$F$7=16),(Grundtoleranzen!W49),IF(AND($F$11="ZA",$F$7=17),(Grundtoleranzen!W49),IF(AND($F$11="ZA",$F$7=18),(Grundtoleranzen!W49),"Error"))))))))))))))))))</f>
        <v>#REF!</v>
      </c>
      <c r="AB17" s="70" t="e">
        <f>IF(AND($F$11="ZB",$F$7=1),(Grundtoleranzen!X49),IF(AND($F$11="ZB",$F$7=2),(Grundtoleranzen!X49),IF(AND($F$11="ZB",$F$7=3),(Grundtoleranzen!X49)+Grundtoleranzen!$Z49,IF(AND($F$11="ZB",$F$7=4),(Grundtoleranzen!X49)+Grundtoleranzen!$AA49,IF(AND($F$11="ZB",$F$7=5),(Grundtoleranzen!X49)+Grundtoleranzen!$AB49,IF(AND($F$11="ZB",$F$7=6),(Grundtoleranzen!X49)+Grundtoleranzen!$AC49,IF(AND($F$11="ZB",$F$7=7),(Grundtoleranzen!X49)+Grundtoleranzen!$AD49,IF(AND($F$11="ZB",$F$7=8),(Grundtoleranzen!X49),IF(AND($F$11="ZB",$F$7=9),(Grundtoleranzen!X49),IF(AND($F$11="ZB",$F$7=10),(Grundtoleranzen!X49),IF(AND($F$11="ZB",$F$7=11),(Grundtoleranzen!X49),IF(AND($F$11="ZB",$F$7=12),(Grundtoleranzen!X49),IF(AND($F$11="ZB",$F$7=13),(Grundtoleranzen!X49),IF(AND($F$11="ZB",$F$7=14),(Grundtoleranzen!X49),IF(AND($F$11="ZB",$F$7=15),(Grundtoleranzen!X49),IF(AND($F$11="ZB",$F$7=16),(Grundtoleranzen!X49),IF(AND($F$11="ZB",$F$7=17),(Grundtoleranzen!X49),IF(AND($F$11="ZB",$F$7=18),(Grundtoleranzen!X49),"Error"))))))))))))))))))</f>
        <v>#REF!</v>
      </c>
      <c r="AC17" s="70" t="e">
        <f>IF(AND($F$11="ZC",$F$7=1),(Grundtoleranzen!Y49),IF(AND($F$11="ZC",$F$7=2),(Grundtoleranzen!Y49),IF(AND($F$11="ZC",$F$7=3),(Grundtoleranzen!Y49)+Grundtoleranzen!$Z49,IF(AND($F$11="ZC",$F$7=4),(Grundtoleranzen!Y49)+Grundtoleranzen!$AA49,IF(AND($F$11="ZC",$F$7=5),(Grundtoleranzen!Y49)+Grundtoleranzen!$AB49,IF(AND($F$11="ZC",$F$7=6),(Grundtoleranzen!Y49)+Grundtoleranzen!$AC49,IF(AND($F$11="ZC",$F$7=7),(Grundtoleranzen!Y49)+Grundtoleranzen!$AD49,IF(AND($F$11="ZC",$F$7=8),(Grundtoleranzen!Y49),IF(AND($F$11="ZC",$F$7=9),(Grundtoleranzen!Y49),IF(AND($F$11="ZC",$F$7=10),(Grundtoleranzen!Y49),IF(AND($F$11="ZC",$F$7=11),(Grundtoleranzen!Y49),IF(AND($F$11="ZC",$F$7=12),(Grundtoleranzen!Y49),IF(AND($F$11="ZC",$F$7=13),(Grundtoleranzen!Y49),IF(AND($F$11="ZC",$F$7=14),(Grundtoleranzen!Y49),IF(AND($F$11="ZC",$F$7=15),(Grundtoleranzen!Y49),IF(AND($F$11="ZC",$F$7=16),(Grundtoleranzen!Y49),IF(AND($F$11="ZC",$F$7=17),(Grundtoleranzen!Y49),IF(AND($F$11="ZC",$F$7=18),(Grundtoleranzen!Y49),"Error"))))))))))))))))))</f>
        <v>#REF!</v>
      </c>
    </row>
    <row r="18" spans="1:29" ht="15.75" thickBot="1" x14ac:dyDescent="0.3">
      <c r="A18" s="66">
        <v>16</v>
      </c>
      <c r="B18" s="66" t="s">
        <v>167</v>
      </c>
      <c r="C18" s="66" t="s">
        <v>110</v>
      </c>
      <c r="E18" s="72" t="s">
        <v>118</v>
      </c>
      <c r="F18" s="73" t="e">
        <f>IF(AND(E4&gt;0,E4&lt;=3),I51,IF(AND(E4&gt;3,E4&lt;=6),I52,IF(AND(E4&gt;6,E4&lt;=10),I53,IF(AND(E4&gt;10,E4&lt;=18),I54,IF(AND(E4&gt;18,E4&lt;=30),I55,IF(AND(E4&gt;30,E4&lt;=50),I56,IF(AND(E4&gt;50,E4&lt;=80),I57,IF(AND(E4&gt;80,E4&lt;=120),I58,IF(AND(E4&gt;120,E4&lt;=180),I59,IF(AND(E4&gt;180,E4&lt;=250),I60,IF(AND(E4&gt;250,E4&lt;=315),I61,IF(AND(E4&gt;315,E4&lt;=400),I62,IF(AND(E4&gt;400,E4&lt;=500),I63,IF(AND(E4&gt;500,E4&lt;=630),I64,IF(AND(E4&gt;630,E4&lt;=800),I66,IF(AND(E4&gt;800,E4&lt;=1000),I67,IF(AND(E4&gt;1000,E4&lt;=1250),I68,IF(AND(E4&gt;1250,E4&lt;=1600),I69,IF(AND(E4&gt;1600,E4&lt;=2000),I70,IF(AND(E4&gt;200,E4&lt;=2500),I70,IF(AND(E4&gt;2500,E4&lt;=3150),I71)))))))))))))))))))))</f>
        <v>#REF!</v>
      </c>
      <c r="H18" s="24" t="s">
        <v>83</v>
      </c>
      <c r="I18" s="38" t="e">
        <f>IF(AND(F$7=1),Grundtoleranzen!B19,IF(AND(F$7=2),Grundtoleranzen!C19,IF(AND(F$7=3),Grundtoleranzen!D19,IF(AND(F$7=4),Grundtoleranzen!E19,IF(AND(F$7=5),Grundtoleranzen!F19,IF(AND(F$7=6),Grundtoleranzen!G19,IF(AND(F$7=7),Grundtoleranzen!H19,IF(AND(F$7=8),Grundtoleranzen!I19,IF(AND(F$7=9),Grundtoleranzen!J19,IF(AND(F$7=10),Grundtoleranzen!K19,IF(AND(F$7=11),Grundtoleranzen!L19,IF(AND(F$7=12),Grundtoleranzen!M19,IF(AND(F$7=13),Grundtoleranzen!N19,IF(AND(F$7=14),Grundtoleranzen!O19,IF(AND(F$7=15),Grundtoleranzen!P19,IF(AND(F$7=16),Grundtoleranzen!Q19,IF(AND(F$7=17),Grundtoleranzen!R19,IF(AND(F$7=18),Grundtoleranzen!S19))))))))))))))))))</f>
        <v>#REF!</v>
      </c>
      <c r="K18" s="24" t="s">
        <v>140</v>
      </c>
      <c r="L18" s="68" t="e">
        <f>IF(AND(F$11="C"),Grundtoleranzen!B50,IF(AND(F$11="D"),Grundtoleranzen!C50,IF(AND(F$11="E"),Grundtoleranzen!D50,IF(AND(F$11="F"),Grundtoleranzen!E50,IF(AND(F$11="G"),Grundtoleranzen!F50,IF(AND(F$11="H"),Grundtoleranzen!G50))))))</f>
        <v>#REF!</v>
      </c>
      <c r="M18" s="24" t="s">
        <v>83</v>
      </c>
      <c r="N18" s="70" t="e">
        <f>IF(AND(F$11="JS",F$7=1),(Grundtoleranzen!B19)/2,IF(AND(F$11="JS",F$7=2),(Grundtoleranzen!C19)/2,IF(AND(F$11="JS",F$7=3),(Grundtoleranzen!D19)/2,IF(AND(F$11="JS",F$7=4),(Grundtoleranzen!E19)/2,IF(AND(F$11="JS",F$7=5),(Grundtoleranzen!F19)/2,IF(AND(F$11="JS",F$7=6),(Grundtoleranzen!G19)/2,IF(AND(F$11="JS",F$7=7),(Grundtoleranzen!H19)/2,IF(AND(F$11="JS",F$7=8),(Grundtoleranzen!I19)/2,IF(AND(F$11="JS",F$7=9),(Grundtoleranzen!J19)/2,IF(AND(F$11="JS",F$7=10),(Grundtoleranzen!K19)/2,IF(AND(F$11="JS",F$7=11),(Grundtoleranzen!L19)/2,IF(AND(F$11="JS",F$7=12),(Grundtoleranzen!M19)/2,IF(AND(F$11="JS",F$7=13),(Grundtoleranzen!N19)/2,IF(AND(F$11="JS",F$7=14),(Grundtoleranzen!O19)/2,IF(AND(F$11="JS",F$7=15),(Grundtoleranzen!P19)/2,IF(AND(F$11="JS",F$7=16),(Grundtoleranzen!Q19)/2,IF(AND(F$11="JS",F$7=17),(Grundtoleranzen!R19)/2,IF(AND(F$11="JS",F$7=18),(Grundtoleranzen!S19)/2))))))))))))))))))*-1</f>
        <v>#REF!</v>
      </c>
      <c r="P18" s="70" t="e">
        <f>IF(AND(F$11="J",F$7=6),(Grundtoleranzen!I50),IF(AND(F$11="J",F$7=7),(Grundtoleranzen!J50),IF(AND(F$11="J",F$7=8),(Grundtoleranzen!K50),"Nur IT6-8")))</f>
        <v>#REF!</v>
      </c>
      <c r="Q18" s="83" t="e">
        <f>IF(AND($F$11="K",$F$7=1),(Grundtoleranzen!L50),IF(AND($F$11="K",$F$7=2),(Grundtoleranzen!L50),IF(AND($F$11="K",$F$7=3),(Grundtoleranzen!L50)+Grundtoleranzen!Z50,IF(AND($F$11="K",$F$7=4),(Grundtoleranzen!L50)+Grundtoleranzen!AA50,IF(AND($F$11="K",$F$7=5),(Grundtoleranzen!L50)+Grundtoleranzen!AB50,IF(AND($F$11="K",$F$7=6),(Grundtoleranzen!L50)+Grundtoleranzen!AC50,IF(AND($F$11="K",$F$7=7),(Grundtoleranzen!L50)+Grundtoleranzen!AD50,IF(AND($F$11="K",$F$7=8),(Grundtoleranzen!L50)+Grundtoleranzen!AE50,"Nur IT 1 - 8"))))))))</f>
        <v>#REF!</v>
      </c>
      <c r="R18" s="70" t="e">
        <f>IF(AND($F$11="M",$F$7=1),(Grundtoleranzen!M50),IF(AND($F$11="M",$F$7=2),(Grundtoleranzen!M50),IF(AND($F$11="M",$F$7=3),(Grundtoleranzen!M50)+Grundtoleranzen!$Z50,IF(AND($F$11="M",$F$7=4),(Grundtoleranzen!M50)+Grundtoleranzen!$AA50,IF(AND($F$11="M",$F$7=5),(Grundtoleranzen!M50)+Grundtoleranzen!$AB50,IF(AND($F$11="M",$F$7=6),(Grundtoleranzen!M50)+Grundtoleranzen!$AC50,IF(AND($F$11="M",$F$7=7),(Grundtoleranzen!M50)+Grundtoleranzen!$AD50,IF(AND($F$11="M",$F$7=8),(Grundtoleranzen!M50)+Grundtoleranzen!$AE50,IF(AND($F$11="M",$F$7=9),(Grundtoleranzen!M50),IF(AND($F$11="M",$F$7=10),(Grundtoleranzen!M50),IF(AND($F$11="M",$F$7=11),(Grundtoleranzen!M50),IF(AND($F$11="M",$F$7=12),(Grundtoleranzen!M50),IF(AND($F$11="M",$F$7=13),(Grundtoleranzen!M50),IF(AND($F$11="M",$F$7=14),(Grundtoleranzen!M50),IF(AND($F$11="M",$F$7=15),(Grundtoleranzen!M50),IF(AND($F$11="M",$F$7=16),(Grundtoleranzen!M50),IF(AND($F$11="M",$F$7=17),(Grundtoleranzen!M50),IF(AND($F$11="M",$F$7=18),(Grundtoleranzen!M50),"Error"))))))))))))))))))</f>
        <v>#REF!</v>
      </c>
      <c r="S18" s="70" t="e">
        <f>IF(AND($F$11="N",$F$7=1),(Grundtoleranzen!N50),IF(AND($F$11="N",$F$7=2),(Grundtoleranzen!N50),IF(AND($F$11="N",$F$7=3),(Grundtoleranzen!N50)+Grundtoleranzen!$Z50,IF(AND($F$11="N",$F$7=4),(Grundtoleranzen!N50)+Grundtoleranzen!$AA50,IF(AND($F$11="N",$F$7=5),(Grundtoleranzen!N50)+Grundtoleranzen!$AB50,IF(AND($F$11="N",$F$7=6),(Grundtoleranzen!N50)+Grundtoleranzen!$AC50,IF(AND($F$11="N",$F$7=7),(Grundtoleranzen!N50)+Grundtoleranzen!$AD50,IF(AND($F$11="N",$F$7=8),(Grundtoleranzen!N50)+Grundtoleranzen!$AE50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#REF!</v>
      </c>
      <c r="T18" s="70" t="e">
        <f>IF(AND($F$11="P",$F$7=1),(Grundtoleranzen!P50),IF(AND($F$11="P",$F$7=2),(Grundtoleranzen!P50),IF(AND($F$11="P",$F$7=3),(Grundtoleranzen!P50)+Grundtoleranzen!$Z50,IF(AND($F$11="P",$F$7=4),(Grundtoleranzen!P50)+Grundtoleranzen!$AA50,IF(AND($F$11="P",$F$7=5),(Grundtoleranzen!P50)+Grundtoleranzen!$AB50,IF(AND($F$11="P",$F$7=6),(Grundtoleranzen!P50)+Grundtoleranzen!$AC50,IF(AND($F$11="P",$F$7=7),(Grundtoleranzen!P50)+Grundtoleranzen!$AD50,IF(AND($F$11="P",$F$7=8),(Grundtoleranzen!P50),IF(AND($F$11="P",$F$7=9),(Grundtoleranzen!P50),IF(AND($F$11="P",$F$7=10),(Grundtoleranzen!P50),IF(AND($F$11="P",$F$7=11),(Grundtoleranzen!P50),IF(AND($F$11="P",$F$7=12),(Grundtoleranzen!P50),IF(AND($F$11="P",$F$7=13),(Grundtoleranzen!P50),IF(AND($F$11="P",$F$7=14),(Grundtoleranzen!P50),IF(AND($F$11="P",$F$7=15),(Grundtoleranzen!P50),IF(AND($F$11="P",$F$7=16),(Grundtoleranzen!P50),IF(AND($F$11="P",$F$7=17),(Grundtoleranzen!P50),IF(AND($F$11="P",$F$7=18),(Grundtoleranzen!P50),"Error"))))))))))))))))))</f>
        <v>#REF!</v>
      </c>
      <c r="U18" s="70" t="e">
        <f>IF(AND($F$11="R",$F$7=1),(Grundtoleranzen!Q50),IF(AND($F$11="R",$F$7=2),(Grundtoleranzen!Q50),IF(AND($F$11="R",$F$7=3),(Grundtoleranzen!Q50)+Grundtoleranzen!$Z50,IF(AND($F$11="R",$F$7=4),(Grundtoleranzen!Q50)+Grundtoleranzen!$AA50,IF(AND($F$11="R",$F$7=5),(Grundtoleranzen!Q50)+Grundtoleranzen!$AB50,IF(AND($F$11="R",$F$7=6),(Grundtoleranzen!Q50)+Grundtoleranzen!$AC50,IF(AND($F$11="R",$F$7=7),(Grundtoleranzen!Q50)+Grundtoleranzen!$AD50,IF(AND($F$11="R",$F$7=8),(Grundtoleranzen!Q50)+Grundtoleranzen!$AE50,IF(AND($F$11="R",$F$7=9),(Grundtoleranzen!Q50),IF(AND($F$11="R",$F$7=10),(Grundtoleranzen!Q50),IF(AND($F$11="R",$F$7=11),(Grundtoleranzen!Q50),IF(AND($F$11="R",$F$7=12),(Grundtoleranzen!Q50),IF(AND($F$11="R",$F$7=13),(Grundtoleranzen!Q50),IF(AND($F$11="R",$F$7=14),(Grundtoleranzen!Q50),IF(AND($F$11="R",$F$7=15),(Grundtoleranzen!Q50),IF(AND($F$11="R",$F$7=16),(Grundtoleranzen!Q50),IF(AND($F$11="R",$F$7=17),(Grundtoleranzen!Q50),IF(AND($F$11="R",$F$7=18),(Grundtoleranzen!Q50),"Error"))))))))))))))))))</f>
        <v>#REF!</v>
      </c>
      <c r="V18" s="70" t="e">
        <f>IF(AND($F$11="S",$F$7=1),Grundtoleranzen!R50,IF(AND($F$11="S",$F$7=2),(Grundtoleranzen!R50),IF(AND($F$11="S",$F$7=3),(Grundtoleranzen!R50)+Grundtoleranzen!$Z50,IF(AND($F$11="S",$F$7=4),(Grundtoleranzen!R50)+Grundtoleranzen!$AA50,IF(AND($F$11="S",$F$7=5),(Grundtoleranzen!R50)+Grundtoleranzen!$AB50,IF(AND($F$11="S",$F$7=6),(Grundtoleranzen!R50)+Grundtoleranzen!$AC50,IF(AND($F$11="S",$F$7=7),(Grundtoleranzen!R50)+Grundtoleranzen!$AD50,IF(AND($F$11="S",$F$7=8),(Grundtoleranzen!R50),IF(AND($F$11="S",$F$7=9),(Grundtoleranzen!R50),IF(AND($F$11="S",$F$7=10),(Grundtoleranzen!R50),IF(AND($F$11="S",$F$7=11),(Grundtoleranzen!R50),IF(AND($F$11="S",$F$7=12),(Grundtoleranzen!R50),IF(AND($F$11="S",$F$7=13),(Grundtoleranzen!R50),IF(AND($F$11="S",$F$7=14),(Grundtoleranzen!R50),IF(AND($F$11="S",$F$7=15),(Grundtoleranzen!R50),IF(AND($F$11="S",$F$7=16),(Grundtoleranzen!R50),IF(AND($F$11="S",$F$7=17),(Grundtoleranzen!R50),IF(AND($F$11="S",$F$7=18),(Grundtoleranzen!R50),"Error"))))))))))))))))))</f>
        <v>#REF!</v>
      </c>
      <c r="W18" s="70" t="e">
        <f>IF(AND($F$11="T",$F$7=1),(Grundtoleranzen!S50),IF(AND($F$11="T",$F$7=2),(Grundtoleranzen!S50),IF(AND($F$11="T",$F$7=3),(Grundtoleranzen!S50)+Grundtoleranzen!$Z50,IF(AND($F$11="T",$F$7=4),(Grundtoleranzen!S50)+Grundtoleranzen!$AA50,IF(AND($F$11="T",$F$7=5),(Grundtoleranzen!S50)+Grundtoleranzen!$AB50,IF(AND($F$11="T",$F$7=6),(Grundtoleranzen!S50)+Grundtoleranzen!$AC50,IF(AND($F$11="T",$F$7=7),(Grundtoleranzen!S50)+Grundtoleranzen!$AD50,IF(AND($F$11="T",$F$7=8),(Grundtoleranzen!S50),IF(AND($F$11="T",$F$7=9),(Grundtoleranzen!S50),IF(AND($F$11="T",$F$7=10),(Grundtoleranzen!S50),IF(AND($F$11="T",$F$7=11),(Grundtoleranzen!S50),IF(AND($F$11="T",$F$7=12),(Grundtoleranzen!S50),IF(AND($F$11="T",$F$7=13),(Grundtoleranzen!S50),IF(AND($F$11="T",$F$7=14),(Grundtoleranzen!S50),IF(AND($F$11="T",$F$7=15),(Grundtoleranzen!S50),IF(AND($F$11="T",$F$7=16),(Grundtoleranzen!S50),IF(AND($F$11="T",$F$7=17),(Grundtoleranzen!S50),IF(AND($F$11="T",$F$7=18),(Grundtoleranzen!S50),"Error"))))))))))))))))))</f>
        <v>#REF!</v>
      </c>
      <c r="X18" s="70" t="e">
        <f>IF(AND($F$11="U",$F$7=1),(Grundtoleranzen!T50),IF(AND($F$11="U",$F$7=2),(Grundtoleranzen!T50),IF(AND($F$11="U",$F$7=3),(Grundtoleranzen!T50)+Grundtoleranzen!$Z50,IF(AND($F$11="U",$F$7=4),(Grundtoleranzen!T50)+Grundtoleranzen!$AA50,IF(AND($F$11="U",$F$7=5),(Grundtoleranzen!T50)+Grundtoleranzen!$AB50,IF(AND($F$11="U",$F$7=6),(Grundtoleranzen!T50)+Grundtoleranzen!$AC50,IF(AND($F$11="U",$F$7=7),(Grundtoleranzen!T50)+Grundtoleranzen!$AD50,IF(AND($F$11="U",$F$7=8),(Grundtoleranzen!T50),IF(AND($F$11="U",$F$7=9),(Grundtoleranzen!T50),IF(AND($F$11="U",$F$7=10),(Grundtoleranzen!T50),IF(AND($F$11="U",$F$7=11),(Grundtoleranzen!T50),IF(AND($F$11="U",$F$7=12),(Grundtoleranzen!T50),IF(AND($F$11="U",$F$7=13),(Grundtoleranzen!T50),IF(AND($F$11="U",$F$7=14),(Grundtoleranzen!T50),IF(AND($F$11="U",$F$7=15),(Grundtoleranzen!T50),IF(AND($F$11="U",$F$7=16),(Grundtoleranzen!T50),IF(AND($F$11="U",$F$7=17),(Grundtoleranzen!T50),IF(AND($F$11="U",$F$7=18),(Grundtoleranzen!T50),"Error"))))))))))))))))))</f>
        <v>#REF!</v>
      </c>
      <c r="Y18" s="70" t="e">
        <f>IF(AND($F$11="X",$F$7=1),(Grundtoleranzen!U50),IF(AND($F$11="X",$F$7=2),(Grundtoleranzen!U50),IF(AND($F$11="X",$F$7=3),(Grundtoleranzen!U50)+Grundtoleranzen!$Z50,IF(AND($F$11="X",$F$7=4),(Grundtoleranzen!U50)+Grundtoleranzen!$AA50,IF(AND($F$11="X",$F$7=5),(Grundtoleranzen!U50)+Grundtoleranzen!$AB50,IF(AND($F$11="X",$F$7=6),(Grundtoleranzen!U50)+Grundtoleranzen!$AC50,IF(AND($F$11="X",$F$7=7),(Grundtoleranzen!U50)+Grundtoleranzen!$AD50,IF(AND($F$11="X",$F$7=8),(Grundtoleranzen!U50)+Grundtoleranzen!$AE50,IF(AND($F$11="X",$F$7=9),(Grundtoleranzen!U50),IF(AND($F$11="X",$F$7=10),(Grundtoleranzen!U50),IF(AND($F$11="X",$F$7=11),(Grundtoleranzen!U50),IF(AND($F$11="X",$F$7=12),(Grundtoleranzen!U50),IF(AND($F$11="X",$F$7=13),(Grundtoleranzen!U50),IF(AND($F$11="X",$F$7=14),(Grundtoleranzen!U50),IF(AND($F$11="X",$F$7=15),(Grundtoleranzen!U50),IF(AND($F$11="X",$F$7=16),(Grundtoleranzen!U50),IF(AND($F$11="X",$F$7=17),(Grundtoleranzen!U50),IF(AND($F$11="X",$F$7=18),(Grundtoleranzen!U50),"Error"))))))))))))))))))</f>
        <v>#REF!</v>
      </c>
      <c r="Z18" s="70" t="e">
        <f>IF(AND($F$11="Z",$F$7=1),(Grundtoleranzen!V50),IF(AND($F$11="Z",$F$7=2),(Grundtoleranzen!V50),IF(AND($F$11="Z",$F$7=3),(Grundtoleranzen!V50)+Grundtoleranzen!$Z50,IF(AND($F$11="Z",$F$7=4),(Grundtoleranzen!V50)+Grundtoleranzen!$AA50,IF(AND($F$11="Z",$F$7=5),(Grundtoleranzen!V50)+Grundtoleranzen!$AB50,IF(AND($F$11="Z",$F$7=6),(Grundtoleranzen!V50)+Grundtoleranzen!$AC50,IF(AND($F$11="Z",$F$7=7),(Grundtoleranzen!V50)+Grundtoleranzen!$AD50,IF(AND($F$11="Z",$F$7=8),(Grundtoleranzen!V50),IF(AND($F$11="Z",$F$7=9),(Grundtoleranzen!V50),IF(AND($F$11="Z",$F$7=10),(Grundtoleranzen!V50),IF(AND($F$11="Z",$F$7=11),(Grundtoleranzen!V50),IF(AND($F$11="Z",$F$7=12),(Grundtoleranzen!V50),IF(AND($F$11="Z",$F$7=13),(Grundtoleranzen!V50),IF(AND($F$11="Z",$F$7=14),(Grundtoleranzen!V50),IF(AND($F$11="Z",$F$7=15),(Grundtoleranzen!V50),IF(AND($F$11="Z",$F$7=16),(Grundtoleranzen!V50),IF(AND($F$11="Z",$F$7=17),(Grundtoleranzen!V50),IF(AND($F$11="Z",$F$7=18),(Grundtoleranzen!V50),"Error"))))))))))))))))))</f>
        <v>#REF!</v>
      </c>
      <c r="AA18" s="70" t="e">
        <f>IF(AND($F$11="ZA",$F$7=1),(Grundtoleranzen!W50),IF(AND($F$11="ZA",$F$7=2),(Grundtoleranzen!W50),IF(AND($F$11="ZA",$F$7=3),(Grundtoleranzen!W50)+Grundtoleranzen!$Z50,IF(AND($F$11="ZA",$F$7=4),(Grundtoleranzen!W50)+Grundtoleranzen!$AA50,IF(AND($F$11="ZA",$F$7=5),(Grundtoleranzen!W50)+Grundtoleranzen!$AB50,IF(AND($F$11="ZA",$F$7=6),(Grundtoleranzen!W50)+Grundtoleranzen!$AC50,IF(AND($F$11="ZA",$F$7=7),(Grundtoleranzen!W50)+Grundtoleranzen!$AD50,IF(AND($F$11="ZA",$F$7=8),(Grundtoleranzen!W50),IF(AND($F$11="ZA",$F$7=9),(Grundtoleranzen!W50),IF(AND($F$11="ZA",$F$7=10),(Grundtoleranzen!W50),IF(AND($F$11="ZA",$F$7=11),(Grundtoleranzen!W50),IF(AND($F$11="ZA",$F$7=12),(Grundtoleranzen!W50),IF(AND($F$11="ZA",$F$7=13),(Grundtoleranzen!W50),IF(AND($F$11="ZA",$F$7=14),(Grundtoleranzen!W50),IF(AND($F$11="ZA",$F$7=15),(Grundtoleranzen!W50),IF(AND($F$11="ZA",$F$7=16),(Grundtoleranzen!W50),IF(AND($F$11="ZA",$F$7=17),(Grundtoleranzen!W50),IF(AND($F$11="ZA",$F$7=18),(Grundtoleranzen!W50),"Error"))))))))))))))))))</f>
        <v>#REF!</v>
      </c>
      <c r="AB18" s="70" t="e">
        <f>IF(AND($F$11="ZB",$F$7=1),(Grundtoleranzen!X50),IF(AND($F$11="ZB",$F$7=2),(Grundtoleranzen!X50),IF(AND($F$11="ZB",$F$7=3),(Grundtoleranzen!X50)+Grundtoleranzen!$Z50,IF(AND($F$11="ZB",$F$7=4),(Grundtoleranzen!X50)+Grundtoleranzen!$AA50,IF(AND($F$11="ZB",$F$7=5),(Grundtoleranzen!X50)+Grundtoleranzen!$AB50,IF(AND($F$11="ZB",$F$7=6),(Grundtoleranzen!X50)+Grundtoleranzen!$AC50,IF(AND($F$11="ZB",$F$7=7),(Grundtoleranzen!X50)+Grundtoleranzen!$AD50,IF(AND($F$11="ZB",$F$7=8),(Grundtoleranzen!X50),IF(AND($F$11="ZB",$F$7=9),(Grundtoleranzen!X50),IF(AND($F$11="ZB",$F$7=10),(Grundtoleranzen!X50),IF(AND($F$11="ZB",$F$7=11),(Grundtoleranzen!X50),IF(AND($F$11="ZB",$F$7=12),(Grundtoleranzen!X50),IF(AND($F$11="ZB",$F$7=13),(Grundtoleranzen!X50),IF(AND($F$11="ZB",$F$7=14),(Grundtoleranzen!X50),IF(AND($F$11="ZB",$F$7=15),(Grundtoleranzen!X50),IF(AND($F$11="ZB",$F$7=16),(Grundtoleranzen!X50),IF(AND($F$11="ZB",$F$7=17),(Grundtoleranzen!X50),IF(AND($F$11="ZB",$F$7=18),(Grundtoleranzen!X50),"Error"))))))))))))))))))</f>
        <v>#REF!</v>
      </c>
      <c r="AC18" s="70" t="e">
        <f>IF(AND($F$11="ZC",$F$7=1),(Grundtoleranzen!Y50),IF(AND($F$11="ZC",$F$7=2),(Grundtoleranzen!Y50),IF(AND($F$11="ZC",$F$7=3),(Grundtoleranzen!Y50)+Grundtoleranzen!$Z50,IF(AND($F$11="ZC",$F$7=4),(Grundtoleranzen!Y50)+Grundtoleranzen!$AA50,IF(AND($F$11="ZC",$F$7=5),(Grundtoleranzen!Y50)+Grundtoleranzen!$AB50,IF(AND($F$11="ZC",$F$7=6),(Grundtoleranzen!Y50)+Grundtoleranzen!$AC50,IF(AND($F$11="ZC",$F$7=7),(Grundtoleranzen!Y50)+Grundtoleranzen!$AD50,IF(AND($F$11="ZC",$F$7=8),(Grundtoleranzen!Y50),IF(AND($F$11="ZC",$F$7=9),(Grundtoleranzen!Y50),IF(AND($F$11="ZC",$F$7=10),(Grundtoleranzen!Y50),IF(AND($F$11="ZC",$F$7=11),(Grundtoleranzen!Y50),IF(AND($F$11="ZC",$F$7=12),(Grundtoleranzen!Y50),IF(AND($F$11="ZC",$F$7=13),(Grundtoleranzen!Y50),IF(AND($F$11="ZC",$F$7=14),(Grundtoleranzen!Y50),IF(AND($F$11="ZC",$F$7=15),(Grundtoleranzen!Y50),IF(AND($F$11="ZC",$F$7=16),(Grundtoleranzen!Y50),IF(AND($F$11="ZC",$F$7=17),(Grundtoleranzen!Y50),IF(AND($F$11="ZC",$F$7=18),(Grundtoleranzen!Y50),"Error"))))))))))))))))))</f>
        <v>#REF!</v>
      </c>
    </row>
    <row r="19" spans="1:29" x14ac:dyDescent="0.25">
      <c r="A19" s="66">
        <v>17</v>
      </c>
      <c r="B19" s="66" t="s">
        <v>168</v>
      </c>
      <c r="C19" s="66" t="s">
        <v>111</v>
      </c>
      <c r="H19" s="24" t="s">
        <v>84</v>
      </c>
      <c r="I19" s="38" t="e">
        <f>IF(AND(F$7=1),Grundtoleranzen!B20,IF(AND(F$7=2),Grundtoleranzen!C20,IF(AND(F$7=3),Grundtoleranzen!D20,IF(AND(F$7=4),Grundtoleranzen!E20,IF(AND(F$7=5),Grundtoleranzen!F20,IF(AND(F$7=6),Grundtoleranzen!G20,IF(AND(F$7=7),Grundtoleranzen!H20,IF(AND(F$7=8),Grundtoleranzen!I20,IF(AND(F$7=9),Grundtoleranzen!J20,IF(AND(F$7=10),Grundtoleranzen!K20,IF(AND(F$7=11),Grundtoleranzen!L20,IF(AND(F$7=12),Grundtoleranzen!M20,IF(AND(F$7=13),Grundtoleranzen!N20,IF(AND(F$7=14),Grundtoleranzen!O20,IF(AND(F$7=15),Grundtoleranzen!P20,IF(AND(F$7=16),Grundtoleranzen!Q20,IF(AND(F$7=17),Grundtoleranzen!R20,IF(AND(F$7=18),Grundtoleranzen!S20))))))))))))))))))</f>
        <v>#REF!</v>
      </c>
      <c r="K19" s="24" t="s">
        <v>141</v>
      </c>
      <c r="L19" s="68" t="e">
        <f>IF(AND(F$11="C"),Grundtoleranzen!B51,IF(AND(F$11="D"),Grundtoleranzen!C51,IF(AND(F$11="E"),Grundtoleranzen!D51,IF(AND(F$11="F"),Grundtoleranzen!E51,IF(AND(F$11="G"),Grundtoleranzen!F51,IF(AND(F$11="H"),Grundtoleranzen!G51))))))</f>
        <v>#REF!</v>
      </c>
      <c r="M19" s="24" t="s">
        <v>84</v>
      </c>
      <c r="N19" s="70" t="e">
        <f>IF(AND(F$11="JS",F$7=1),(Grundtoleranzen!B20)/2,IF(AND(F$11="JS",F$7=2),(Grundtoleranzen!C20)/2,IF(AND(F$11="JS",F$7=3),(Grundtoleranzen!D20)/2,IF(AND(F$11="JS",F$7=4),(Grundtoleranzen!E20)/2,IF(AND(F$11="JS",F$7=5),(Grundtoleranzen!F20)/2,IF(AND(F$11="JS",F$7=6),(Grundtoleranzen!G20)/2,IF(AND(F$11="JS",F$7=7),(Grundtoleranzen!H20)/2,IF(AND(F$11="JS",F$7=8),(Grundtoleranzen!I20)/2,IF(AND(F$11="JS",F$7=9),(Grundtoleranzen!J20)/2,IF(AND(F$11="JS",F$7=10),(Grundtoleranzen!K20)/2,IF(AND(F$11="JS",F$7=11),(Grundtoleranzen!L20)/2,IF(AND(F$11="JS",F$7=12),(Grundtoleranzen!M20)/2,IF(AND(F$11="JS",F$7=13),(Grundtoleranzen!N20)/2,IF(AND(F$11="JS",F$7=14),(Grundtoleranzen!O20)/2,IF(AND(F$11="JS",F$7=15),(Grundtoleranzen!P20)/2,IF(AND(F$11="JS",F$7=16),(Grundtoleranzen!Q20)/2,IF(AND(F$11="JS",F$7=17),(Grundtoleranzen!R20)/2,IF(AND(F$11="JS",F$7=18),(Grundtoleranzen!S20)/2))))))))))))))))))*-1</f>
        <v>#REF!</v>
      </c>
      <c r="P19" s="70" t="e">
        <f>IF(AND(F$11="J",F$7=6),(Grundtoleranzen!I51),IF(AND(F$11="J",F$7=7),(Grundtoleranzen!J51),IF(AND(F$11="J",F$7=8),(Grundtoleranzen!K51),"Nur IT6-8")))</f>
        <v>#REF!</v>
      </c>
      <c r="Q19" s="83" t="e">
        <f>IF(AND($F$11="K",$F$7=1),(Grundtoleranzen!L51),IF(AND($F$11="K",$F$7=2),(Grundtoleranzen!L51),IF(AND($F$11="K",$F$7=3),(Grundtoleranzen!L51)+Grundtoleranzen!Z51,IF(AND($F$11="K",$F$7=4),(Grundtoleranzen!L51)+Grundtoleranzen!AA51,IF(AND($F$11="K",$F$7=5),(Grundtoleranzen!L51)+Grundtoleranzen!AB51,IF(AND($F$11="K",$F$7=6),(Grundtoleranzen!L51)+Grundtoleranzen!AC51,IF(AND($F$11="K",$F$7=7),(Grundtoleranzen!L51)+Grundtoleranzen!AD51,IF(AND($F$11="K",$F$7=8),(Grundtoleranzen!L51)+Grundtoleranzen!AE51,"Nur IT 1 - 8"))))))))</f>
        <v>#REF!</v>
      </c>
      <c r="R19" s="70" t="e">
        <f>IF(AND($F$11="M",$F$7=1),(Grundtoleranzen!M51),IF(AND($F$11="M",$F$7=2),(Grundtoleranzen!M51),IF(AND($F$11="M",$F$7=3),(Grundtoleranzen!M51)+Grundtoleranzen!$Z51,IF(AND($F$11="M",$F$7=4),(Grundtoleranzen!M51)+Grundtoleranzen!$AA51,IF(AND($F$11="M",$F$7=5),(Grundtoleranzen!M51)+Grundtoleranzen!$AB51,IF(AND($F$11="M",$F$7=6),(Grundtoleranzen!M51)+Grundtoleranzen!$AC51,IF(AND($F$11="M",$F$7=7),(Grundtoleranzen!M51)+Grundtoleranzen!$AD51,IF(AND($F$11="M",$F$7=8),(Grundtoleranzen!M51)+Grundtoleranzen!$AE51,IF(AND($F$11="M",$F$7=9),(Grundtoleranzen!M51),IF(AND($F$11="M",$F$7=10),(Grundtoleranzen!M51),IF(AND($F$11="M",$F$7=11),(Grundtoleranzen!M51),IF(AND($F$11="M",$F$7=12),(Grundtoleranzen!M51),IF(AND($F$11="M",$F$7=13),(Grundtoleranzen!M51),IF(AND($F$11="M",$F$7=14),(Grundtoleranzen!M51),IF(AND($F$11="M",$F$7=15),(Grundtoleranzen!M51),IF(AND($F$11="M",$F$7=16),(Grundtoleranzen!M51),IF(AND($F$11="M",$F$7=17),(Grundtoleranzen!M51),IF(AND($F$11="M",$F$7=18),(Grundtoleranzen!M51),"Error"))))))))))))))))))</f>
        <v>#REF!</v>
      </c>
      <c r="S19" s="70" t="e">
        <f>IF(AND($F$11="N",$F$7=1),(Grundtoleranzen!N51),IF(AND($F$11="N",$F$7=2),(Grundtoleranzen!N51),IF(AND($F$11="N",$F$7=3),(Grundtoleranzen!N51)+Grundtoleranzen!$Z51,IF(AND($F$11="N",$F$7=4),(Grundtoleranzen!N51)+Grundtoleranzen!$AA51,IF(AND($F$11="N",$F$7=5),(Grundtoleranzen!N51)+Grundtoleranzen!$AB51,IF(AND($F$11="N",$F$7=6),(Grundtoleranzen!N51)+Grundtoleranzen!$AC51,IF(AND($F$11="N",$F$7=7),(Grundtoleranzen!N51)+Grundtoleranzen!$AD51,IF(AND($F$11="N",$F$7=8),(Grundtoleranzen!N51)+Grundtoleranzen!$AE51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#REF!</v>
      </c>
      <c r="T19" s="70" t="e">
        <f>IF(AND($F$11="P",$F$7=1),(Grundtoleranzen!P51),IF(AND($F$11="P",$F$7=2),(Grundtoleranzen!P51),IF(AND($F$11="P",$F$7=3),(Grundtoleranzen!P51)+Grundtoleranzen!$Z51,IF(AND($F$11="P",$F$7=4),(Grundtoleranzen!P51)+Grundtoleranzen!$AA51,IF(AND($F$11="P",$F$7=5),(Grundtoleranzen!P51)+Grundtoleranzen!$AB51,IF(AND($F$11="P",$F$7=6),(Grundtoleranzen!P51)+Grundtoleranzen!$AC51,IF(AND($F$11="P",$F$7=7),(Grundtoleranzen!P51)+Grundtoleranzen!$AD51,IF(AND($F$11="P",$F$7=8),(Grundtoleranzen!P51),IF(AND($F$11="P",$F$7=9),(Grundtoleranzen!P51),IF(AND($F$11="P",$F$7=10),(Grundtoleranzen!P51),IF(AND($F$11="P",$F$7=11),(Grundtoleranzen!P51),IF(AND($F$11="P",$F$7=12),(Grundtoleranzen!P51),IF(AND($F$11="P",$F$7=13),(Grundtoleranzen!P51),IF(AND($F$11="P",$F$7=14),(Grundtoleranzen!P51),IF(AND($F$11="P",$F$7=15),(Grundtoleranzen!P51),IF(AND($F$11="P",$F$7=16),(Grundtoleranzen!P51),IF(AND($F$11="P",$F$7=17),(Grundtoleranzen!P51),IF(AND($F$11="P",$F$7=18),(Grundtoleranzen!P51),"Error"))))))))))))))))))</f>
        <v>#REF!</v>
      </c>
      <c r="U19" s="70" t="e">
        <f>IF(AND($F$11="R",$F$7=1),(Grundtoleranzen!Q51),IF(AND($F$11="R",$F$7=2),(Grundtoleranzen!Q51),IF(AND($F$11="R",$F$7=3),(Grundtoleranzen!Q51)+Grundtoleranzen!$Z51,IF(AND($F$11="R",$F$7=4),(Grundtoleranzen!Q51)+Grundtoleranzen!$AA51,IF(AND($F$11="R",$F$7=5),(Grundtoleranzen!Q51)+Grundtoleranzen!$AB51,IF(AND($F$11="R",$F$7=6),(Grundtoleranzen!Q51)+Grundtoleranzen!$AC51,IF(AND($F$11="R",$F$7=7),(Grundtoleranzen!Q51)+Grundtoleranzen!$AD51,IF(AND($F$11="R",$F$7=8),(Grundtoleranzen!Q51)+Grundtoleranzen!$AE51,IF(AND($F$11="R",$F$7=9),(Grundtoleranzen!Q51),IF(AND($F$11="R",$F$7=10),(Grundtoleranzen!Q51),IF(AND($F$11="R",$F$7=11),(Grundtoleranzen!Q51),IF(AND($F$11="R",$F$7=12),(Grundtoleranzen!Q51),IF(AND($F$11="R",$F$7=13),(Grundtoleranzen!Q51),IF(AND($F$11="R",$F$7=14),(Grundtoleranzen!Q51),IF(AND($F$11="R",$F$7=15),(Grundtoleranzen!Q51),IF(AND($F$11="R",$F$7=16),(Grundtoleranzen!Q51),IF(AND($F$11="R",$F$7=17),(Grundtoleranzen!Q51),IF(AND($F$11="R",$F$7=18),(Grundtoleranzen!Q51),"Error"))))))))))))))))))</f>
        <v>#REF!</v>
      </c>
      <c r="V19" s="70" t="e">
        <f>IF(AND($F$11="S",$F$7=1),Grundtoleranzen!R51,IF(AND($F$11="S",$F$7=2),(Grundtoleranzen!R51),IF(AND($F$11="S",$F$7=3),(Grundtoleranzen!R51)+Grundtoleranzen!$Z51,IF(AND($F$11="S",$F$7=4),(Grundtoleranzen!R51)+Grundtoleranzen!$AA51,IF(AND($F$11="S",$F$7=5),(Grundtoleranzen!R51)+Grundtoleranzen!$AB51,IF(AND($F$11="S",$F$7=6),(Grundtoleranzen!R51)+Grundtoleranzen!$AC51,IF(AND($F$11="S",$F$7=7),(Grundtoleranzen!R51)+Grundtoleranzen!$AD51,IF(AND($F$11="S",$F$7=8),(Grundtoleranzen!R51),IF(AND($F$11="S",$F$7=9),(Grundtoleranzen!R51),IF(AND($F$11="S",$F$7=10),(Grundtoleranzen!R51),IF(AND($F$11="S",$F$7=11),(Grundtoleranzen!R51),IF(AND($F$11="S",$F$7=12),(Grundtoleranzen!R51),IF(AND($F$11="S",$F$7=13),(Grundtoleranzen!R51),IF(AND($F$11="S",$F$7=14),(Grundtoleranzen!R51),IF(AND($F$11="S",$F$7=15),(Grundtoleranzen!R51),IF(AND($F$11="S",$F$7=16),(Grundtoleranzen!R51),IF(AND($F$11="S",$F$7=17),(Grundtoleranzen!R51),IF(AND($F$11="S",$F$7=18),(Grundtoleranzen!R51),"Error"))))))))))))))))))</f>
        <v>#REF!</v>
      </c>
      <c r="W19" s="70" t="e">
        <f>IF(AND($F$11="T",$F$7=1),(Grundtoleranzen!S51),IF(AND($F$11="T",$F$7=2),(Grundtoleranzen!S51),IF(AND($F$11="T",$F$7=3),(Grundtoleranzen!S51)+Grundtoleranzen!$Z51,IF(AND($F$11="T",$F$7=4),(Grundtoleranzen!S51)+Grundtoleranzen!$AA51,IF(AND($F$11="T",$F$7=5),(Grundtoleranzen!S51)+Grundtoleranzen!$AB51,IF(AND($F$11="T",$F$7=6),(Grundtoleranzen!S51)+Grundtoleranzen!$AC51,IF(AND($F$11="T",$F$7=7),(Grundtoleranzen!S51)+Grundtoleranzen!$AD51,IF(AND($F$11="T",$F$7=8),(Grundtoleranzen!S51),IF(AND($F$11="T",$F$7=9),(Grundtoleranzen!S51),IF(AND($F$11="T",$F$7=10),(Grundtoleranzen!S51),IF(AND($F$11="T",$F$7=11),(Grundtoleranzen!S51),IF(AND($F$11="T",$F$7=12),(Grundtoleranzen!S51),IF(AND($F$11="T",$F$7=13),(Grundtoleranzen!S51),IF(AND($F$11="T",$F$7=14),(Grundtoleranzen!S51),IF(AND($F$11="T",$F$7=15),(Grundtoleranzen!S51),IF(AND($F$11="T",$F$7=16),(Grundtoleranzen!S51),IF(AND($F$11="T",$F$7=17),(Grundtoleranzen!S51),IF(AND($F$11="T",$F$7=18),(Grundtoleranzen!S51),"Error"))))))))))))))))))</f>
        <v>#REF!</v>
      </c>
      <c r="X19" s="70" t="e">
        <f>IF(AND($F$11="U",$F$7=1),(Grundtoleranzen!T51),IF(AND($F$11="U",$F$7=2),(Grundtoleranzen!T51),IF(AND($F$11="U",$F$7=3),(Grundtoleranzen!T51)+Grundtoleranzen!$Z51,IF(AND($F$11="U",$F$7=4),(Grundtoleranzen!T51)+Grundtoleranzen!$AA51,IF(AND($F$11="U",$F$7=5),(Grundtoleranzen!T51)+Grundtoleranzen!$AB51,IF(AND($F$11="U",$F$7=6),(Grundtoleranzen!T51)+Grundtoleranzen!$AC51,IF(AND($F$11="U",$F$7=7),(Grundtoleranzen!T51)+Grundtoleranzen!$AD51,IF(AND($F$11="U",$F$7=8),(Grundtoleranzen!T51),IF(AND($F$11="U",$F$7=9),(Grundtoleranzen!T51),IF(AND($F$11="U",$F$7=10),(Grundtoleranzen!T51),IF(AND($F$11="U",$F$7=11),(Grundtoleranzen!T51),IF(AND($F$11="U",$F$7=12),(Grundtoleranzen!T51),IF(AND($F$11="U",$F$7=13),(Grundtoleranzen!T51),IF(AND($F$11="U",$F$7=14),(Grundtoleranzen!T51),IF(AND($F$11="U",$F$7=15),(Grundtoleranzen!T51),IF(AND($F$11="U",$F$7=16),(Grundtoleranzen!T51),IF(AND($F$11="U",$F$7=17),(Grundtoleranzen!T51),IF(AND($F$11="U",$F$7=18),(Grundtoleranzen!T51),"Error"))))))))))))))))))</f>
        <v>#REF!</v>
      </c>
      <c r="Y19" s="70" t="e">
        <f>IF(AND($F$11="X",$F$7=1),(Grundtoleranzen!U51),IF(AND($F$11="X",$F$7=2),(Grundtoleranzen!U51),IF(AND($F$11="X",$F$7=3),(Grundtoleranzen!U51)+Grundtoleranzen!$Z51,IF(AND($F$11="X",$F$7=4),(Grundtoleranzen!U51)+Grundtoleranzen!$AA51,IF(AND($F$11="X",$F$7=5),(Grundtoleranzen!U51)+Grundtoleranzen!$AB51,IF(AND($F$11="X",$F$7=6),(Grundtoleranzen!U51)+Grundtoleranzen!$AC51,IF(AND($F$11="X",$F$7=7),(Grundtoleranzen!U51)+Grundtoleranzen!$AD51,IF(AND($F$11="X",$F$7=8),(Grundtoleranzen!U51)+Grundtoleranzen!$AE51,IF(AND($F$11="X",$F$7=9),(Grundtoleranzen!U51),IF(AND($F$11="X",$F$7=10),(Grundtoleranzen!U51),IF(AND($F$11="X",$F$7=11),(Grundtoleranzen!U51),IF(AND($F$11="X",$F$7=12),(Grundtoleranzen!U51),IF(AND($F$11="X",$F$7=13),(Grundtoleranzen!U51),IF(AND($F$11="X",$F$7=14),(Grundtoleranzen!U51),IF(AND($F$11="X",$F$7=15),(Grundtoleranzen!U51),IF(AND($F$11="X",$F$7=16),(Grundtoleranzen!U51),IF(AND($F$11="X",$F$7=17),(Grundtoleranzen!U51),IF(AND($F$11="X",$F$7=18),(Grundtoleranzen!U51),"Error"))))))))))))))))))</f>
        <v>#REF!</v>
      </c>
      <c r="Z19" s="70" t="e">
        <f>IF(AND($F$11="Z",$F$7=1),(Grundtoleranzen!V51),IF(AND($F$11="Z",$F$7=2),(Grundtoleranzen!V51),IF(AND($F$11="Z",$F$7=3),(Grundtoleranzen!V51)+Grundtoleranzen!$Z51,IF(AND($F$11="Z",$F$7=4),(Grundtoleranzen!V51)+Grundtoleranzen!$AA51,IF(AND($F$11="Z",$F$7=5),(Grundtoleranzen!V51)+Grundtoleranzen!$AB51,IF(AND($F$11="Z",$F$7=6),(Grundtoleranzen!V51)+Grundtoleranzen!$AC51,IF(AND($F$11="Z",$F$7=7),(Grundtoleranzen!V51)+Grundtoleranzen!$AD51,IF(AND($F$11="Z",$F$7=8),(Grundtoleranzen!V51),IF(AND($F$11="Z",$F$7=9),(Grundtoleranzen!V51),IF(AND($F$11="Z",$F$7=10),(Grundtoleranzen!V51),IF(AND($F$11="Z",$F$7=11),(Grundtoleranzen!V51),IF(AND($F$11="Z",$F$7=12),(Grundtoleranzen!V51),IF(AND($F$11="Z",$F$7=13),(Grundtoleranzen!V51),IF(AND($F$11="Z",$F$7=14),(Grundtoleranzen!V51),IF(AND($F$11="Z",$F$7=15),(Grundtoleranzen!V51),IF(AND($F$11="Z",$F$7=16),(Grundtoleranzen!V51),IF(AND($F$11="Z",$F$7=17),(Grundtoleranzen!V51),IF(AND($F$11="Z",$F$7=18),(Grundtoleranzen!V51),"Error"))))))))))))))))))</f>
        <v>#REF!</v>
      </c>
      <c r="AA19" s="70" t="e">
        <f>IF(AND($F$11="ZA",$F$7=1),(Grundtoleranzen!W51),IF(AND($F$11="ZA",$F$7=2),(Grundtoleranzen!W51),IF(AND($F$11="ZA",$F$7=3),(Grundtoleranzen!W51)+Grundtoleranzen!$Z51,IF(AND($F$11="ZA",$F$7=4),(Grundtoleranzen!W51)+Grundtoleranzen!$AA51,IF(AND($F$11="ZA",$F$7=5),(Grundtoleranzen!W51)+Grundtoleranzen!$AB51,IF(AND($F$11="ZA",$F$7=6),(Grundtoleranzen!W51)+Grundtoleranzen!$AC51,IF(AND($F$11="ZA",$F$7=7),(Grundtoleranzen!W51)+Grundtoleranzen!$AD51,IF(AND($F$11="ZA",$F$7=8),(Grundtoleranzen!W51),IF(AND($F$11="ZA",$F$7=9),(Grundtoleranzen!W51),IF(AND($F$11="ZA",$F$7=10),(Grundtoleranzen!W51),IF(AND($F$11="ZA",$F$7=11),(Grundtoleranzen!W51),IF(AND($F$11="ZA",$F$7=12),(Grundtoleranzen!W51),IF(AND($F$11="ZA",$F$7=13),(Grundtoleranzen!W51),IF(AND($F$11="ZA",$F$7=14),(Grundtoleranzen!W51),IF(AND($F$11="ZA",$F$7=15),(Grundtoleranzen!W51),IF(AND($F$11="ZA",$F$7=16),(Grundtoleranzen!W51),IF(AND($F$11="ZA",$F$7=17),(Grundtoleranzen!W51),IF(AND($F$11="ZA",$F$7=18),(Grundtoleranzen!W51),"Error"))))))))))))))))))</f>
        <v>#REF!</v>
      </c>
      <c r="AB19" s="70" t="e">
        <f>IF(AND($F$11="ZB",$F$7=1),(Grundtoleranzen!X51),IF(AND($F$11="ZB",$F$7=2),(Grundtoleranzen!X51),IF(AND($F$11="ZB",$F$7=3),(Grundtoleranzen!X51)+Grundtoleranzen!$Z51,IF(AND($F$11="ZB",$F$7=4),(Grundtoleranzen!X51)+Grundtoleranzen!$AA51,IF(AND($F$11="ZB",$F$7=5),(Grundtoleranzen!X51)+Grundtoleranzen!$AB51,IF(AND($F$11="ZB",$F$7=6),(Grundtoleranzen!X51)+Grundtoleranzen!$AC51,IF(AND($F$11="ZB",$F$7=7),(Grundtoleranzen!X51)+Grundtoleranzen!$AD51,IF(AND($F$11="ZB",$F$7=8),(Grundtoleranzen!X51),IF(AND($F$11="ZB",$F$7=9),(Grundtoleranzen!X51),IF(AND($F$11="ZB",$F$7=10),(Grundtoleranzen!X51),IF(AND($F$11="ZB",$F$7=11),(Grundtoleranzen!X51),IF(AND($F$11="ZB",$F$7=12),(Grundtoleranzen!X51),IF(AND($F$11="ZB",$F$7=13),(Grundtoleranzen!X51),IF(AND($F$11="ZB",$F$7=14),(Grundtoleranzen!X51),IF(AND($F$11="ZB",$F$7=15),(Grundtoleranzen!X51),IF(AND($F$11="ZB",$F$7=16),(Grundtoleranzen!X51),IF(AND($F$11="ZB",$F$7=17),(Grundtoleranzen!X51),IF(AND($F$11="ZB",$F$7=18),(Grundtoleranzen!X51),"Error"))))))))))))))))))</f>
        <v>#REF!</v>
      </c>
      <c r="AC19" s="70" t="e">
        <f>IF(AND($F$11="ZC",$F$7=1),(Grundtoleranzen!Y51),IF(AND($F$11="ZC",$F$7=2),(Grundtoleranzen!Y51),IF(AND($F$11="ZC",$F$7=3),(Grundtoleranzen!Y51)+Grundtoleranzen!$Z51,IF(AND($F$11="ZC",$F$7=4),(Grundtoleranzen!Y51)+Grundtoleranzen!$AA51,IF(AND($F$11="ZC",$F$7=5),(Grundtoleranzen!Y51)+Grundtoleranzen!$AB51,IF(AND($F$11="ZC",$F$7=6),(Grundtoleranzen!Y51)+Grundtoleranzen!$AC51,IF(AND($F$11="ZC",$F$7=7),(Grundtoleranzen!Y51)+Grundtoleranzen!$AD51,IF(AND($F$11="ZC",$F$7=8),(Grundtoleranzen!Y51),IF(AND($F$11="ZC",$F$7=9),(Grundtoleranzen!Y51),IF(AND($F$11="ZC",$F$7=10),(Grundtoleranzen!Y51),IF(AND($F$11="ZC",$F$7=11),(Grundtoleranzen!Y51),IF(AND($F$11="ZC",$F$7=12),(Grundtoleranzen!Y51),IF(AND($F$11="ZC",$F$7=13),(Grundtoleranzen!Y51),IF(AND($F$11="ZC",$F$7=14),(Grundtoleranzen!Y51),IF(AND($F$11="ZC",$F$7=15),(Grundtoleranzen!Y51),IF(AND($F$11="ZC",$F$7=16),(Grundtoleranzen!Y51),IF(AND($F$11="ZC",$F$7=17),(Grundtoleranzen!Y51),IF(AND($F$11="ZC",$F$7=18),(Grundtoleranzen!Y51),"Error"))))))))))))))))))</f>
        <v>#REF!</v>
      </c>
    </row>
    <row r="20" spans="1:29" ht="15.75" thickBot="1" x14ac:dyDescent="0.3">
      <c r="A20" s="67">
        <v>18</v>
      </c>
      <c r="B20" s="66" t="s">
        <v>169</v>
      </c>
      <c r="C20" s="66" t="s">
        <v>112</v>
      </c>
      <c r="H20" s="24" t="s">
        <v>85</v>
      </c>
      <c r="I20" s="38" t="e">
        <f>IF(AND(F$7=1),Grundtoleranzen!B21,IF(AND(F$7=2),Grundtoleranzen!C21,IF(AND(F$7=3),Grundtoleranzen!D21,IF(AND(F$7=4),Grundtoleranzen!E21,IF(AND(F$7=5),Grundtoleranzen!F21,IF(AND(F$7=6),Grundtoleranzen!G21,IF(AND(F$7=7),Grundtoleranzen!H21,IF(AND(F$7=8),Grundtoleranzen!I21,IF(AND(F$7=9),Grundtoleranzen!J21,IF(AND(F$7=10),Grundtoleranzen!K21,IF(AND(F$7=11),Grundtoleranzen!L21,IF(AND(F$7=12),Grundtoleranzen!M21,IF(AND(F$7=13),Grundtoleranzen!N21,IF(AND(F$7=14),Grundtoleranzen!O21,IF(AND(F$7=15),Grundtoleranzen!P21,IF(AND(F$7=16),Grundtoleranzen!Q21,IF(AND(F$7=17),Grundtoleranzen!R21,IF(AND(F$7=18),Grundtoleranzen!S21))))))))))))))))))</f>
        <v>#REF!</v>
      </c>
      <c r="K20" s="24" t="s">
        <v>142</v>
      </c>
      <c r="L20" s="68" t="e">
        <f>IF(AND(F$11="C"),Grundtoleranzen!B52,IF(AND(F$11="D"),Grundtoleranzen!C52,IF(AND(F$11="E"),Grundtoleranzen!D52,IF(AND(F$11="F"),Grundtoleranzen!E52,IF(AND(F$11="G"),Grundtoleranzen!F52,IF(AND(F$11="H"),Grundtoleranzen!G52))))))</f>
        <v>#REF!</v>
      </c>
      <c r="M20" s="24" t="s">
        <v>85</v>
      </c>
      <c r="N20" s="70" t="e">
        <f>IF(AND(F$11="JS",F$7=1),(Grundtoleranzen!B21)/2,IF(AND(F$11="JS",F$7=2),(Grundtoleranzen!C21)/2,IF(AND(F$11="JS",F$7=3),(Grundtoleranzen!D21)/2,IF(AND(F$11="JS",F$7=4),(Grundtoleranzen!E21)/2,IF(AND(F$11="JS",F$7=5),(Grundtoleranzen!F21)/2,IF(AND(F$11="JS",F$7=6),(Grundtoleranzen!G21)/2,IF(AND(F$11="JS",F$7=7),(Grundtoleranzen!H21)/2,IF(AND(F$11="JS",F$7=8),(Grundtoleranzen!I21)/2,IF(AND(F$11="JS",F$7=9),(Grundtoleranzen!J21)/2,IF(AND(F$11="JS",F$7=10),(Grundtoleranzen!K21)/2,IF(AND(F$11="JS",F$7=11),(Grundtoleranzen!L21)/2,IF(AND(F$11="JS",F$7=12),(Grundtoleranzen!M21)/2,IF(AND(F$11="JS",F$7=13),(Grundtoleranzen!N21)/2,IF(AND(F$11="JS",F$7=14),(Grundtoleranzen!O21)/2,IF(AND(F$11="JS",F$7=15),(Grundtoleranzen!P21)/2,IF(AND(F$11="JS",F$7=16),(Grundtoleranzen!Q21)/2,IF(AND(F$11="JS",F$7=17),(Grundtoleranzen!R21)/2,IF(AND(F$11="JS",F$7=18),(Grundtoleranzen!S21)/2))))))))))))))))))*-1</f>
        <v>#REF!</v>
      </c>
      <c r="P20" s="70" t="e">
        <f>IF(AND(F$11="J",F$7=6),(Grundtoleranzen!I52),IF(AND(F$11="J",F$7=7),(Grundtoleranzen!J52),IF(AND(F$11="J",F$7=8),(Grundtoleranzen!K52),"Nur IT6-8")))</f>
        <v>#REF!</v>
      </c>
      <c r="Q20" s="83" t="e">
        <f>IF(AND($F$11="K",$F$7=1),(Grundtoleranzen!L52),IF(AND($F$11="K",$F$7=2),(Grundtoleranzen!L52),IF(AND($F$11="K",$F$7=3),(Grundtoleranzen!L52)+Grundtoleranzen!Z52,IF(AND($F$11="K",$F$7=4),(Grundtoleranzen!L52)+Grundtoleranzen!AA52,IF(AND($F$11="K",$F$7=5),(Grundtoleranzen!L52)+Grundtoleranzen!AB52,IF(AND($F$11="K",$F$7=6),(Grundtoleranzen!L52)+Grundtoleranzen!AC52,IF(AND($F$11="K",$F$7=7),(Grundtoleranzen!L52)+Grundtoleranzen!AD52,IF(AND($F$11="K",$F$7=8),(Grundtoleranzen!L52)+Grundtoleranzen!AE52,"Nur IT 1 - 8"))))))))</f>
        <v>#REF!</v>
      </c>
      <c r="R20" s="70" t="e">
        <f>IF(AND($F$11="M",$F$7=1),(Grundtoleranzen!M52),IF(AND($F$11="M",$F$7=2),(Grundtoleranzen!M52),IF(AND($F$11="M",$F$7=3),(Grundtoleranzen!M52)+Grundtoleranzen!$Z52,IF(AND($F$11="M",$F$7=4),(Grundtoleranzen!M52)+Grundtoleranzen!$AA52,IF(AND($F$11="M",$F$7=5),(Grundtoleranzen!M52)+Grundtoleranzen!$AB52,IF(AND($F$11="M",$F$7=6),(Grundtoleranzen!M52)+Grundtoleranzen!$AC52,IF(AND($F$11="M",$F$7=7),(Grundtoleranzen!M52)+Grundtoleranzen!$AD52,IF(AND($F$11="M",$F$7=8),(Grundtoleranzen!M52)+Grundtoleranzen!$AE52,IF(AND($F$11="M",$F$7=9),(Grundtoleranzen!M52),IF(AND($F$11="M",$F$7=10),(Grundtoleranzen!M52),IF(AND($F$11="M",$F$7=11),(Grundtoleranzen!M52),IF(AND($F$11="M",$F$7=12),(Grundtoleranzen!M52),IF(AND($F$11="M",$F$7=13),(Grundtoleranzen!M52),IF(AND($F$11="M",$F$7=14),(Grundtoleranzen!M52),IF(AND($F$11="M",$F$7=15),(Grundtoleranzen!M52),IF(AND($F$11="M",$F$7=16),(Grundtoleranzen!M52),IF(AND($F$11="M",$F$7=17),(Grundtoleranzen!M52),IF(AND($F$11="M",$F$7=18),(Grundtoleranzen!M52),"Error"))))))))))))))))))</f>
        <v>#REF!</v>
      </c>
      <c r="S20" s="70" t="e">
        <f>IF(AND($F$11="N",$F$7=1),(Grundtoleranzen!N52),IF(AND($F$11="N",$F$7=2),(Grundtoleranzen!N52),IF(AND($F$11="N",$F$7=3),(Grundtoleranzen!N52)+Grundtoleranzen!$Z52,IF(AND($F$11="N",$F$7=4),(Grundtoleranzen!N52)+Grundtoleranzen!$AA52,IF(AND($F$11="N",$F$7=5),(Grundtoleranzen!N52)+Grundtoleranzen!$AB52,IF(AND($F$11="N",$F$7=6),(Grundtoleranzen!N52)+Grundtoleranzen!$AC52,IF(AND($F$11="N",$F$7=7),(Grundtoleranzen!N52)+Grundtoleranzen!$AD52,IF(AND($F$11="N",$F$7=8),(Grundtoleranzen!N52)+Grundtoleranzen!$AE52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#REF!</v>
      </c>
      <c r="T20" s="70" t="e">
        <f>IF(AND($F$11="P",$F$7=1),(Grundtoleranzen!P52),IF(AND($F$11="P",$F$7=2),(Grundtoleranzen!P52),IF(AND($F$11="P",$F$7=3),(Grundtoleranzen!P52)+Grundtoleranzen!$Z52,IF(AND($F$11="P",$F$7=4),(Grundtoleranzen!P52)+Grundtoleranzen!$AA52,IF(AND($F$11="P",$F$7=5),(Grundtoleranzen!P52)+Grundtoleranzen!$AB52,IF(AND($F$11="P",$F$7=6),(Grundtoleranzen!P52)+Grundtoleranzen!$AC52,IF(AND($F$11="P",$F$7=7),(Grundtoleranzen!P52)+Grundtoleranzen!$AD52,IF(AND($F$11="P",$F$7=8),(Grundtoleranzen!P52),IF(AND($F$11="P",$F$7=9),(Grundtoleranzen!P52),IF(AND($F$11="P",$F$7=10),(Grundtoleranzen!P52),IF(AND($F$11="P",$F$7=11),(Grundtoleranzen!P52),IF(AND($F$11="P",$F$7=12),(Grundtoleranzen!P52),IF(AND($F$11="P",$F$7=13),(Grundtoleranzen!P52),IF(AND($F$11="P",$F$7=14),(Grundtoleranzen!P52),IF(AND($F$11="P",$F$7=15),(Grundtoleranzen!P52),IF(AND($F$11="P",$F$7=16),(Grundtoleranzen!P52),IF(AND($F$11="P",$F$7=17),(Grundtoleranzen!P52),IF(AND($F$11="P",$F$7=18),(Grundtoleranzen!P52),"Error"))))))))))))))))))</f>
        <v>#REF!</v>
      </c>
      <c r="U20" s="70" t="e">
        <f>IF(AND($F$11="R",$F$7=1),(Grundtoleranzen!Q52),IF(AND($F$11="R",$F$7=2),(Grundtoleranzen!Q52),IF(AND($F$11="R",$F$7=3),(Grundtoleranzen!Q52)+Grundtoleranzen!$Z52,IF(AND($F$11="R",$F$7=4),(Grundtoleranzen!Q52)+Grundtoleranzen!$AA52,IF(AND($F$11="R",$F$7=5),(Grundtoleranzen!Q52)+Grundtoleranzen!$AB52,IF(AND($F$11="R",$F$7=6),(Grundtoleranzen!Q52)+Grundtoleranzen!$AC52,IF(AND($F$11="R",$F$7=7),(Grundtoleranzen!Q52)+Grundtoleranzen!$AD52,IF(AND($F$11="R",$F$7=8),(Grundtoleranzen!Q52)+Grundtoleranzen!$AE52,IF(AND($F$11="R",$F$7=9),(Grundtoleranzen!Q52),IF(AND($F$11="R",$F$7=10),(Grundtoleranzen!Q52),IF(AND($F$11="R",$F$7=11),(Grundtoleranzen!Q52),IF(AND($F$11="R",$F$7=12),(Grundtoleranzen!Q52),IF(AND($F$11="R",$F$7=13),(Grundtoleranzen!Q52),IF(AND($F$11="R",$F$7=14),(Grundtoleranzen!Q52),IF(AND($F$11="R",$F$7=15),(Grundtoleranzen!Q52),IF(AND($F$11="R",$F$7=16),(Grundtoleranzen!Q52),IF(AND($F$11="R",$F$7=17),(Grundtoleranzen!Q52),IF(AND($F$11="R",$F$7=18),(Grundtoleranzen!Q52),"Error"))))))))))))))))))</f>
        <v>#REF!</v>
      </c>
      <c r="V20" s="70" t="e">
        <f>IF(AND($F$11="S",$F$7=1),Grundtoleranzen!R52,IF(AND($F$11="S",$F$7=2),(Grundtoleranzen!R52),IF(AND($F$11="S",$F$7=3),(Grundtoleranzen!R52)+Grundtoleranzen!$Z52,IF(AND($F$11="S",$F$7=4),(Grundtoleranzen!R52)+Grundtoleranzen!$AA52,IF(AND($F$11="S",$F$7=5),(Grundtoleranzen!R52)+Grundtoleranzen!$AB52,IF(AND($F$11="S",$F$7=6),(Grundtoleranzen!R52)+Grundtoleranzen!$AC52,IF(AND($F$11="S",$F$7=7),(Grundtoleranzen!R52)+Grundtoleranzen!$AD52,IF(AND($F$11="S",$F$7=8),(Grundtoleranzen!R52),IF(AND($F$11="S",$F$7=9),(Grundtoleranzen!R52),IF(AND($F$11="S",$F$7=10),(Grundtoleranzen!R52),IF(AND($F$11="S",$F$7=11),(Grundtoleranzen!R52),IF(AND($F$11="S",$F$7=12),(Grundtoleranzen!R52),IF(AND($F$11="S",$F$7=13),(Grundtoleranzen!R52),IF(AND($F$11="S",$F$7=14),(Grundtoleranzen!R52),IF(AND($F$11="S",$F$7=15),(Grundtoleranzen!R52),IF(AND($F$11="S",$F$7=16),(Grundtoleranzen!R52),IF(AND($F$11="S",$F$7=17),(Grundtoleranzen!R52),IF(AND($F$11="S",$F$7=18),(Grundtoleranzen!R52),"Error"))))))))))))))))))</f>
        <v>#REF!</v>
      </c>
      <c r="W20" s="70" t="e">
        <f>IF(AND($F$11="T",$F$7=1),(Grundtoleranzen!S52),IF(AND($F$11="T",$F$7=2),(Grundtoleranzen!S52),IF(AND($F$11="T",$F$7=3),(Grundtoleranzen!S52)+Grundtoleranzen!$Z52,IF(AND($F$11="T",$F$7=4),(Grundtoleranzen!S52)+Grundtoleranzen!$AA52,IF(AND($F$11="T",$F$7=5),(Grundtoleranzen!S52)+Grundtoleranzen!$AB52,IF(AND($F$11="T",$F$7=6),(Grundtoleranzen!S52)+Grundtoleranzen!$AC52,IF(AND($F$11="T",$F$7=7),(Grundtoleranzen!S52)+Grundtoleranzen!$AD52,IF(AND($F$11="T",$F$7=8),(Grundtoleranzen!S52),IF(AND($F$11="T",$F$7=9),(Grundtoleranzen!S52),IF(AND($F$11="T",$F$7=10),(Grundtoleranzen!S52),IF(AND($F$11="T",$F$7=11),(Grundtoleranzen!S52),IF(AND($F$11="T",$F$7=12),(Grundtoleranzen!S52),IF(AND($F$11="T",$F$7=13),(Grundtoleranzen!S52),IF(AND($F$11="T",$F$7=14),(Grundtoleranzen!S52),IF(AND($F$11="T",$F$7=15),(Grundtoleranzen!S52),IF(AND($F$11="T",$F$7=16),(Grundtoleranzen!S52),IF(AND($F$11="T",$F$7=17),(Grundtoleranzen!S52),IF(AND($F$11="T",$F$7=18),(Grundtoleranzen!S52),"Error"))))))))))))))))))</f>
        <v>#REF!</v>
      </c>
      <c r="X20" s="70" t="e">
        <f>IF(AND($F$11="U",$F$7=1),(Grundtoleranzen!T52),IF(AND($F$11="U",$F$7=2),(Grundtoleranzen!T52),IF(AND($F$11="U",$F$7=3),(Grundtoleranzen!T52)+Grundtoleranzen!$Z52,IF(AND($F$11="U",$F$7=4),(Grundtoleranzen!T52)+Grundtoleranzen!$AA52,IF(AND($F$11="U",$F$7=5),(Grundtoleranzen!T52)+Grundtoleranzen!$AB52,IF(AND($F$11="U",$F$7=6),(Grundtoleranzen!T52)+Grundtoleranzen!$AC52,IF(AND($F$11="U",$F$7=7),(Grundtoleranzen!T52)+Grundtoleranzen!$AD52,IF(AND($F$11="U",$F$7=8),(Grundtoleranzen!T52),IF(AND($F$11="U",$F$7=9),(Grundtoleranzen!T52),IF(AND($F$11="U",$F$7=10),(Grundtoleranzen!T52),IF(AND($F$11="U",$F$7=11),(Grundtoleranzen!T52),IF(AND($F$11="U",$F$7=12),(Grundtoleranzen!T52),IF(AND($F$11="U",$F$7=13),(Grundtoleranzen!T52),IF(AND($F$11="U",$F$7=14),(Grundtoleranzen!T52),IF(AND($F$11="U",$F$7=15),(Grundtoleranzen!T52),IF(AND($F$11="U",$F$7=16),(Grundtoleranzen!T52),IF(AND($F$11="U",$F$7=17),(Grundtoleranzen!T52),IF(AND($F$11="U",$F$7=18),(Grundtoleranzen!T52),"Error"))))))))))))))))))</f>
        <v>#REF!</v>
      </c>
      <c r="Y20" s="70" t="e">
        <f>IF(AND($F$11="X",$F$7=1),(Grundtoleranzen!U52),IF(AND($F$11="X",$F$7=2),(Grundtoleranzen!U52),IF(AND($F$11="X",$F$7=3),(Grundtoleranzen!U52)+Grundtoleranzen!$Z52,IF(AND($F$11="X",$F$7=4),(Grundtoleranzen!U52)+Grundtoleranzen!$AA52,IF(AND($F$11="X",$F$7=5),(Grundtoleranzen!U52)+Grundtoleranzen!$AB52,IF(AND($F$11="X",$F$7=6),(Grundtoleranzen!U52)+Grundtoleranzen!$AC52,IF(AND($F$11="X",$F$7=7),(Grundtoleranzen!U52)+Grundtoleranzen!$AD52,IF(AND($F$11="X",$F$7=8),(Grundtoleranzen!U52)+Grundtoleranzen!$AE52,IF(AND($F$11="X",$F$7=9),(Grundtoleranzen!U52),IF(AND($F$11="X",$F$7=10),(Grundtoleranzen!U52),IF(AND($F$11="X",$F$7=11),(Grundtoleranzen!U52),IF(AND($F$11="X",$F$7=12),(Grundtoleranzen!U52),IF(AND($F$11="X",$F$7=13),(Grundtoleranzen!U52),IF(AND($F$11="X",$F$7=14),(Grundtoleranzen!U52),IF(AND($F$11="X",$F$7=15),(Grundtoleranzen!U52),IF(AND($F$11="X",$F$7=16),(Grundtoleranzen!U52),IF(AND($F$11="X",$F$7=17),(Grundtoleranzen!U52),IF(AND($F$11="X",$F$7=18),(Grundtoleranzen!U52),"Error"))))))))))))))))))</f>
        <v>#REF!</v>
      </c>
      <c r="Z20" s="70" t="e">
        <f>IF(AND($F$11="Z",$F$7=1),(Grundtoleranzen!V52),IF(AND($F$11="Z",$F$7=2),(Grundtoleranzen!V52),IF(AND($F$11="Z",$F$7=3),(Grundtoleranzen!V52)+Grundtoleranzen!$Z52,IF(AND($F$11="Z",$F$7=4),(Grundtoleranzen!V52)+Grundtoleranzen!$AA52,IF(AND($F$11="Z",$F$7=5),(Grundtoleranzen!V52)+Grundtoleranzen!$AB52,IF(AND($F$11="Z",$F$7=6),(Grundtoleranzen!V52)+Grundtoleranzen!$AC52,IF(AND($F$11="Z",$F$7=7),(Grundtoleranzen!V52)+Grundtoleranzen!$AD52,IF(AND($F$11="Z",$F$7=8),(Grundtoleranzen!V52),IF(AND($F$11="Z",$F$7=9),(Grundtoleranzen!V52),IF(AND($F$11="Z",$F$7=10),(Grundtoleranzen!V52),IF(AND($F$11="Z",$F$7=11),(Grundtoleranzen!V52),IF(AND($F$11="Z",$F$7=12),(Grundtoleranzen!V52),IF(AND($F$11="Z",$F$7=13),(Grundtoleranzen!V52),IF(AND($F$11="Z",$F$7=14),(Grundtoleranzen!V52),IF(AND($F$11="Z",$F$7=15),(Grundtoleranzen!V52),IF(AND($F$11="Z",$F$7=16),(Grundtoleranzen!V52),IF(AND($F$11="Z",$F$7=17),(Grundtoleranzen!V52),IF(AND($F$11="Z",$F$7=18),(Grundtoleranzen!V52),"Error"))))))))))))))))))</f>
        <v>#REF!</v>
      </c>
      <c r="AA20" s="70" t="e">
        <f>IF(AND($F$11="ZA",$F$7=1),(Grundtoleranzen!W52),IF(AND($F$11="ZA",$F$7=2),(Grundtoleranzen!W52),IF(AND($F$11="ZA",$F$7=3),(Grundtoleranzen!W52)+Grundtoleranzen!$Z52,IF(AND($F$11="ZA",$F$7=4),(Grundtoleranzen!W52)+Grundtoleranzen!$AA52,IF(AND($F$11="ZA",$F$7=5),(Grundtoleranzen!W52)+Grundtoleranzen!$AB52,IF(AND($F$11="ZA",$F$7=6),(Grundtoleranzen!W52)+Grundtoleranzen!$AC52,IF(AND($F$11="ZA",$F$7=7),(Grundtoleranzen!W52)+Grundtoleranzen!$AD52,IF(AND($F$11="ZA",$F$7=8),(Grundtoleranzen!W52),IF(AND($F$11="ZA",$F$7=9),(Grundtoleranzen!W52),IF(AND($F$11="ZA",$F$7=10),(Grundtoleranzen!W52),IF(AND($F$11="ZA",$F$7=11),(Grundtoleranzen!W52),IF(AND($F$11="ZA",$F$7=12),(Grundtoleranzen!W52),IF(AND($F$11="ZA",$F$7=13),(Grundtoleranzen!W52),IF(AND($F$11="ZA",$F$7=14),(Grundtoleranzen!W52),IF(AND($F$11="ZA",$F$7=15),(Grundtoleranzen!W52),IF(AND($F$11="ZA",$F$7=16),(Grundtoleranzen!W52),IF(AND($F$11="ZA",$F$7=17),(Grundtoleranzen!W52),IF(AND($F$11="ZA",$F$7=18),(Grundtoleranzen!W52),"Error"))))))))))))))))))</f>
        <v>#REF!</v>
      </c>
      <c r="AB20" s="70" t="e">
        <f>IF(AND($F$11="ZB",$F$7=1),(Grundtoleranzen!X52),IF(AND($F$11="ZB",$F$7=2),(Grundtoleranzen!X52),IF(AND($F$11="ZB",$F$7=3),(Grundtoleranzen!X52)+Grundtoleranzen!$Z52,IF(AND($F$11="ZB",$F$7=4),(Grundtoleranzen!X52)+Grundtoleranzen!$AA52,IF(AND($F$11="ZB",$F$7=5),(Grundtoleranzen!X52)+Grundtoleranzen!$AB52,IF(AND($F$11="ZB",$F$7=6),(Grundtoleranzen!X52)+Grundtoleranzen!$AC52,IF(AND($F$11="ZB",$F$7=7),(Grundtoleranzen!X52)+Grundtoleranzen!$AD52,IF(AND($F$11="ZB",$F$7=8),(Grundtoleranzen!X52),IF(AND($F$11="ZB",$F$7=9),(Grundtoleranzen!X52),IF(AND($F$11="ZB",$F$7=10),(Grundtoleranzen!X52),IF(AND($F$11="ZB",$F$7=11),(Grundtoleranzen!X52),IF(AND($F$11="ZB",$F$7=12),(Grundtoleranzen!X52),IF(AND($F$11="ZB",$F$7=13),(Grundtoleranzen!X52),IF(AND($F$11="ZB",$F$7=14),(Grundtoleranzen!X52),IF(AND($F$11="ZB",$F$7=15),(Grundtoleranzen!X52),IF(AND($F$11="ZB",$F$7=16),(Grundtoleranzen!X52),IF(AND($F$11="ZB",$F$7=17),(Grundtoleranzen!X52),IF(AND($F$11="ZB",$F$7=18),(Grundtoleranzen!X52),"Error"))))))))))))))))))</f>
        <v>#REF!</v>
      </c>
      <c r="AC20" s="70" t="e">
        <f>IF(AND($F$11="ZC",$F$7=1),(Grundtoleranzen!Y52),IF(AND($F$11="ZC",$F$7=2),(Grundtoleranzen!Y52),IF(AND($F$11="ZC",$F$7=3),(Grundtoleranzen!Y52)+Grundtoleranzen!$Z52,IF(AND($F$11="ZC",$F$7=4),(Grundtoleranzen!Y52)+Grundtoleranzen!$AA52,IF(AND($F$11="ZC",$F$7=5),(Grundtoleranzen!Y52)+Grundtoleranzen!$AB52,IF(AND($F$11="ZC",$F$7=6),(Grundtoleranzen!Y52)+Grundtoleranzen!$AC52,IF(AND($F$11="ZC",$F$7=7),(Grundtoleranzen!Y52)+Grundtoleranzen!$AD52,IF(AND($F$11="ZC",$F$7=8),(Grundtoleranzen!Y52),IF(AND($F$11="ZC",$F$7=9),(Grundtoleranzen!Y52),IF(AND($F$11="ZC",$F$7=10),(Grundtoleranzen!Y52),IF(AND($F$11="ZC",$F$7=11),(Grundtoleranzen!Y52),IF(AND($F$11="ZC",$F$7=12),(Grundtoleranzen!Y52),IF(AND($F$11="ZC",$F$7=13),(Grundtoleranzen!Y52),IF(AND($F$11="ZC",$F$7=14),(Grundtoleranzen!Y52),IF(AND($F$11="ZC",$F$7=15),(Grundtoleranzen!Y52),IF(AND($F$11="ZC",$F$7=16),(Grundtoleranzen!Y52),IF(AND($F$11="ZC",$F$7=17),(Grundtoleranzen!Y52),IF(AND($F$11="ZC",$F$7=18),(Grundtoleranzen!Y52),"Error"))))))))))))))))))</f>
        <v>#REF!</v>
      </c>
    </row>
    <row r="21" spans="1:29" x14ac:dyDescent="0.25">
      <c r="B21" s="66" t="s">
        <v>170</v>
      </c>
      <c r="C21" s="66" t="s">
        <v>113</v>
      </c>
      <c r="H21" s="25" t="s">
        <v>86</v>
      </c>
      <c r="I21" s="38" t="e">
        <f>IF(AND(F$7=1),Grundtoleranzen!B22,IF(AND(F$7=2),Grundtoleranzen!C22,IF(AND(F$7=3),Grundtoleranzen!D22,IF(AND(F$7=4),Grundtoleranzen!E22,IF(AND(F$7=5),Grundtoleranzen!F22,IF(AND(F$7=6),Grundtoleranzen!G22,IF(AND(F$7=7),Grundtoleranzen!H22,IF(AND(F$7=8),Grundtoleranzen!I22,IF(AND(F$7=9),Grundtoleranzen!J22,IF(AND(F$7=10),Grundtoleranzen!K22,IF(AND(F$7=11),Grundtoleranzen!L22,IF(AND(F$7=12),Grundtoleranzen!M22,IF(AND(F$7=13),Grundtoleranzen!N22,IF(AND(F$7=14),Grundtoleranzen!O22,IF(AND(F$7=15),Grundtoleranzen!P22,IF(AND(F$7=16),Grundtoleranzen!Q22,IF(AND(F$7=17),Grundtoleranzen!R22,IF(AND(F$7=18),Grundtoleranzen!S22))))))))))))))))))</f>
        <v>#REF!</v>
      </c>
      <c r="K21" s="24" t="s">
        <v>143</v>
      </c>
      <c r="L21" s="68" t="e">
        <f>IF(AND(F$11="C"),Grundtoleranzen!B53,IF(AND(F$11="D"),Grundtoleranzen!C53,IF(AND(F$11="E"),Grundtoleranzen!D53,IF(AND(F$11="F"),Grundtoleranzen!E53,IF(AND(F$11="G"),Grundtoleranzen!F53,IF(AND(F$11="H"),Grundtoleranzen!G53))))))</f>
        <v>#REF!</v>
      </c>
      <c r="M21" s="25" t="s">
        <v>86</v>
      </c>
      <c r="N21" s="70" t="e">
        <f>IF(AND(F$11="JS",F$7=1),(Grundtoleranzen!B22)/2,IF(AND(F$11="JS",F$7=2),(Grundtoleranzen!C22)/2,IF(AND(F$11="JS",F$7=3),(Grundtoleranzen!D22)/2,IF(AND(F$11="JS",F$7=4),(Grundtoleranzen!E22)/2,IF(AND(F$11="JS",F$7=5),(Grundtoleranzen!F22)/2,IF(AND(F$11="JS",F$7=6),(Grundtoleranzen!G22)/2,IF(AND(F$11="JS",F$7=7),(Grundtoleranzen!H22)/2,IF(AND(F$11="JS",F$7=8),(Grundtoleranzen!I22)/2,IF(AND(F$11="JS",F$7=9),(Grundtoleranzen!J22)/2,IF(AND(F$11="JS",F$7=10),(Grundtoleranzen!K22)/2,IF(AND(F$11="JS",F$7=11),(Grundtoleranzen!L22)/2,IF(AND(F$11="JS",F$7=12),(Grundtoleranzen!M22)/2,IF(AND(F$11="JS",F$7=13),(Grundtoleranzen!N22)/2,IF(AND(F$11="JS",F$7=14),(Grundtoleranzen!O22)/2,IF(AND(F$11="JS",F$7=15),(Grundtoleranzen!P22)/2,IF(AND(F$11="JS",F$7=16),(Grundtoleranzen!Q22)/2,IF(AND(F$11="JS",F$7=17),(Grundtoleranzen!R22)/2,IF(AND(F$11="JS",F$7=18),(Grundtoleranzen!S22)/2))))))))))))))))))*-1</f>
        <v>#REF!</v>
      </c>
      <c r="P21" s="70" t="e">
        <f>IF(AND(F$11="J",F$7=6),(Grundtoleranzen!I53),IF(AND(F$11="J",F$7=7),(Grundtoleranzen!J53),IF(AND(F$11="J",F$7=8),(Grundtoleranzen!K53),"Nur IT6-8")))</f>
        <v>#REF!</v>
      </c>
      <c r="Q21" s="83" t="e">
        <f>IF(AND($F$11="K",$F$7=1),(Grundtoleranzen!L53),IF(AND($F$11="K",$F$7=2),(Grundtoleranzen!L53),IF(AND($F$11="K",$F$7=3),(Grundtoleranzen!L53)+Grundtoleranzen!Z53,IF(AND($F$11="K",$F$7=4),(Grundtoleranzen!L53)+Grundtoleranzen!AA53,IF(AND($F$11="K",$F$7=5),(Grundtoleranzen!L53)+Grundtoleranzen!AB53,IF(AND($F$11="K",$F$7=6),(Grundtoleranzen!L53)+Grundtoleranzen!AC53,IF(AND($F$11="K",$F$7=7),(Grundtoleranzen!L53)+Grundtoleranzen!AD53,IF(AND($F$11="K",$F$7=8),(Grundtoleranzen!L53)+Grundtoleranzen!AE53,"Nur IT 1 - 8"))))))))</f>
        <v>#REF!</v>
      </c>
      <c r="R21" s="70" t="e">
        <f>IF(AND($F$11="M",$F$7=1),(Grundtoleranzen!M53),IF(AND($F$11="M",$F$7=2),(Grundtoleranzen!M53),IF(AND($F$11="M",$F$7=3),(Grundtoleranzen!M53)+Grundtoleranzen!$Z53,IF(AND($F$11="M",$F$7=4),(Grundtoleranzen!M53)+Grundtoleranzen!$AA53,IF(AND($F$11="M",$F$7=5),(Grundtoleranzen!M53)+Grundtoleranzen!$AB53,IF(AND($F$11="M",$F$7=6),(Grundtoleranzen!M53)+Grundtoleranzen!$AC53,IF(AND($F$11="M",$F$7=7),(Grundtoleranzen!M53)+Grundtoleranzen!$AD53,IF(AND($F$11="M",$F$7=8),(Grundtoleranzen!M53)+Grundtoleranzen!$AE53,IF(AND($F$11="M",$F$7=9),(Grundtoleranzen!M53),IF(AND($F$11="M",$F$7=10),(Grundtoleranzen!M53),IF(AND($F$11="M",$F$7=11),(Grundtoleranzen!M53),IF(AND($F$11="M",$F$7=12),(Grundtoleranzen!M53),IF(AND($F$11="M",$F$7=13),(Grundtoleranzen!M53),IF(AND($F$11="M",$F$7=14),(Grundtoleranzen!M53),IF(AND($F$11="M",$F$7=15),(Grundtoleranzen!M53),IF(AND($F$11="M",$F$7=16),(Grundtoleranzen!M53),IF(AND($F$11="M",$F$7=17),(Grundtoleranzen!M53),IF(AND($F$11="M",$F$7=18),(Grundtoleranzen!M53),"Error"))))))))))))))))))</f>
        <v>#REF!</v>
      </c>
      <c r="S21" s="70" t="e">
        <f>IF(AND($F$11="N",$F$7=1),(Grundtoleranzen!N53),IF(AND($F$11="N",$F$7=2),(Grundtoleranzen!N53),IF(AND($F$11="N",$F$7=3),(Grundtoleranzen!N53)+Grundtoleranzen!$Z53,IF(AND($F$11="N",$F$7=4),(Grundtoleranzen!N53)+Grundtoleranzen!$AA53,IF(AND($F$11="N",$F$7=5),(Grundtoleranzen!N53)+Grundtoleranzen!$AB53,IF(AND($F$11="N",$F$7=6),(Grundtoleranzen!N53)+Grundtoleranzen!$AC53,IF(AND($F$11="N",$F$7=7),(Grundtoleranzen!N53)+Grundtoleranzen!$AD53,IF(AND($F$11="N",$F$7=8),(Grundtoleranzen!N53)+Grundtoleranzen!$AE53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#REF!</v>
      </c>
      <c r="T21" s="70" t="e">
        <f>IF(AND($F$11="P",$F$7=1),(Grundtoleranzen!P53),IF(AND($F$11="P",$F$7=2),(Grundtoleranzen!P53),IF(AND($F$11="P",$F$7=3),(Grundtoleranzen!P53)+Grundtoleranzen!$Z53,IF(AND($F$11="P",$F$7=4),(Grundtoleranzen!P53)+Grundtoleranzen!$AA53,IF(AND($F$11="P",$F$7=5),(Grundtoleranzen!P53)+Grundtoleranzen!$AB53,IF(AND($F$11="P",$F$7=6),(Grundtoleranzen!P53)+Grundtoleranzen!$AC53,IF(AND($F$11="P",$F$7=7),(Grundtoleranzen!P53)+Grundtoleranzen!$AD53,IF(AND($F$11="P",$F$7=8),(Grundtoleranzen!P53),IF(AND($F$11="P",$F$7=9),(Grundtoleranzen!P53),IF(AND($F$11="P",$F$7=10),(Grundtoleranzen!P53),IF(AND($F$11="P",$F$7=11),(Grundtoleranzen!P53),IF(AND($F$11="P",$F$7=12),(Grundtoleranzen!P53),IF(AND($F$11="P",$F$7=13),(Grundtoleranzen!P53),IF(AND($F$11="P",$F$7=14),(Grundtoleranzen!P53),IF(AND($F$11="P",$F$7=15),(Grundtoleranzen!P53),IF(AND($F$11="P",$F$7=16),(Grundtoleranzen!P53),IF(AND($F$11="P",$F$7=17),(Grundtoleranzen!P53),IF(AND($F$11="P",$F$7=18),(Grundtoleranzen!P53),"Error"))))))))))))))))))</f>
        <v>#REF!</v>
      </c>
      <c r="U21" s="70" t="e">
        <f>IF(AND($F$11="R",$F$7=1),(Grundtoleranzen!Q53),IF(AND($F$11="R",$F$7=2),(Grundtoleranzen!Q53),IF(AND($F$11="R",$F$7=3),(Grundtoleranzen!Q53)+Grundtoleranzen!$Z53,IF(AND($F$11="R",$F$7=4),(Grundtoleranzen!Q53)+Grundtoleranzen!$AA53,IF(AND($F$11="R",$F$7=5),(Grundtoleranzen!Q53)+Grundtoleranzen!$AB53,IF(AND($F$11="R",$F$7=6),(Grundtoleranzen!Q53)+Grundtoleranzen!$AC53,IF(AND($F$11="R",$F$7=7),(Grundtoleranzen!Q53)+Grundtoleranzen!$AD53,IF(AND($F$11="R",$F$7=8),(Grundtoleranzen!Q53)+Grundtoleranzen!$AE53,IF(AND($F$11="R",$F$7=9),(Grundtoleranzen!Q53),IF(AND($F$11="R",$F$7=10),(Grundtoleranzen!Q53),IF(AND($F$11="R",$F$7=11),(Grundtoleranzen!Q53),IF(AND($F$11="R",$F$7=12),(Grundtoleranzen!Q53),IF(AND($F$11="R",$F$7=13),(Grundtoleranzen!Q53),IF(AND($F$11="R",$F$7=14),(Grundtoleranzen!Q53),IF(AND($F$11="R",$F$7=15),(Grundtoleranzen!Q53),IF(AND($F$11="R",$F$7=16),(Grundtoleranzen!Q53),IF(AND($F$11="R",$F$7=17),(Grundtoleranzen!Q53),IF(AND($F$11="R",$F$7=18),(Grundtoleranzen!Q53),"Error"))))))))))))))))))</f>
        <v>#REF!</v>
      </c>
      <c r="V21" s="70" t="e">
        <f>IF(AND($F$11="S",$F$7=1),Grundtoleranzen!R53,IF(AND($F$11="S",$F$7=2),(Grundtoleranzen!R53),IF(AND($F$11="S",$F$7=3),(Grundtoleranzen!R53)+Grundtoleranzen!$Z53,IF(AND($F$11="S",$F$7=4),(Grundtoleranzen!R53)+Grundtoleranzen!$AA53,IF(AND($F$11="S",$F$7=5),(Grundtoleranzen!R53)+Grundtoleranzen!$AB53,IF(AND($F$11="S",$F$7=6),(Grundtoleranzen!R53)+Grundtoleranzen!$AC53,IF(AND($F$11="S",$F$7=7),(Grundtoleranzen!R53)+Grundtoleranzen!$AD53,IF(AND($F$11="S",$F$7=8),(Grundtoleranzen!R53),IF(AND($F$11="S",$F$7=9),(Grundtoleranzen!R53),IF(AND($F$11="S",$F$7=10),(Grundtoleranzen!R53),IF(AND($F$11="S",$F$7=11),(Grundtoleranzen!R53),IF(AND($F$11="S",$F$7=12),(Grundtoleranzen!R53),IF(AND($F$11="S",$F$7=13),(Grundtoleranzen!R53),IF(AND($F$11="S",$F$7=14),(Grundtoleranzen!R53),IF(AND($F$11="S",$F$7=15),(Grundtoleranzen!R53),IF(AND($F$11="S",$F$7=16),(Grundtoleranzen!R53),IF(AND($F$11="S",$F$7=17),(Grundtoleranzen!R53),IF(AND($F$11="S",$F$7=18),(Grundtoleranzen!R53),"Error"))))))))))))))))))</f>
        <v>#REF!</v>
      </c>
      <c r="W21" s="70" t="e">
        <f>IF(AND($F$11="T",$F$7=1),(Grundtoleranzen!S53),IF(AND($F$11="T",$F$7=2),(Grundtoleranzen!S53),IF(AND($F$11="T",$F$7=3),(Grundtoleranzen!S53)+Grundtoleranzen!$Z53,IF(AND($F$11="T",$F$7=4),(Grundtoleranzen!S53)+Grundtoleranzen!$AA53,IF(AND($F$11="T",$F$7=5),(Grundtoleranzen!S53)+Grundtoleranzen!$AB53,IF(AND($F$11="T",$F$7=6),(Grundtoleranzen!S53)+Grundtoleranzen!$AC53,IF(AND($F$11="T",$F$7=7),(Grundtoleranzen!S53)+Grundtoleranzen!$AD53,IF(AND($F$11="T",$F$7=8),(Grundtoleranzen!S53),IF(AND($F$11="T",$F$7=9),(Grundtoleranzen!S53),IF(AND($F$11="T",$F$7=10),(Grundtoleranzen!S53),IF(AND($F$11="T",$F$7=11),(Grundtoleranzen!S53),IF(AND($F$11="T",$F$7=12),(Grundtoleranzen!S53),IF(AND($F$11="T",$F$7=13),(Grundtoleranzen!S53),IF(AND($F$11="T",$F$7=14),(Grundtoleranzen!S53),IF(AND($F$11="T",$F$7=15),(Grundtoleranzen!S53),IF(AND($F$11="T",$F$7=16),(Grundtoleranzen!S53),IF(AND($F$11="T",$F$7=17),(Grundtoleranzen!S53),IF(AND($F$11="T",$F$7=18),(Grundtoleranzen!S53),"Error"))))))))))))))))))</f>
        <v>#REF!</v>
      </c>
      <c r="X21" s="70" t="e">
        <f>IF(AND($F$11="U",$F$7=1),(Grundtoleranzen!T53),IF(AND($F$11="U",$F$7=2),(Grundtoleranzen!T53),IF(AND($F$11="U",$F$7=3),(Grundtoleranzen!T53)+Grundtoleranzen!$Z53,IF(AND($F$11="U",$F$7=4),(Grundtoleranzen!T53)+Grundtoleranzen!$AA53,IF(AND($F$11="U",$F$7=5),(Grundtoleranzen!T53)+Grundtoleranzen!$AB53,IF(AND($F$11="U",$F$7=6),(Grundtoleranzen!T53)+Grundtoleranzen!$AC53,IF(AND($F$11="U",$F$7=7),(Grundtoleranzen!T53)+Grundtoleranzen!$AD53,IF(AND($F$11="U",$F$7=8),(Grundtoleranzen!T53),IF(AND($F$11="U",$F$7=9),(Grundtoleranzen!T53),IF(AND($F$11="U",$F$7=10),(Grundtoleranzen!T53),IF(AND($F$11="U",$F$7=11),(Grundtoleranzen!T53),IF(AND($F$11="U",$F$7=12),(Grundtoleranzen!T53),IF(AND($F$11="U",$F$7=13),(Grundtoleranzen!T53),IF(AND($F$11="U",$F$7=14),(Grundtoleranzen!T53),IF(AND($F$11="U",$F$7=15),(Grundtoleranzen!T53),IF(AND($F$11="U",$F$7=16),(Grundtoleranzen!T53),IF(AND($F$11="U",$F$7=17),(Grundtoleranzen!T53),IF(AND($F$11="U",$F$7=18),(Grundtoleranzen!T53),"Error"))))))))))))))))))</f>
        <v>#REF!</v>
      </c>
      <c r="Y21" s="70" t="e">
        <f>IF(AND($F$11="X",$F$7=1),(Grundtoleranzen!U53),IF(AND($F$11="X",$F$7=2),(Grundtoleranzen!U53),IF(AND($F$11="X",$F$7=3),(Grundtoleranzen!U53)+Grundtoleranzen!$Z53,IF(AND($F$11="X",$F$7=4),(Grundtoleranzen!U53)+Grundtoleranzen!$AA53,IF(AND($F$11="X",$F$7=5),(Grundtoleranzen!U53)+Grundtoleranzen!$AB53,IF(AND($F$11="X",$F$7=6),(Grundtoleranzen!U53)+Grundtoleranzen!$AC53,IF(AND($F$11="X",$F$7=7),(Grundtoleranzen!U53)+Grundtoleranzen!$AD53,IF(AND($F$11="X",$F$7=8),(Grundtoleranzen!U53)+Grundtoleranzen!$AE53,IF(AND($F$11="X",$F$7=9),(Grundtoleranzen!U53),IF(AND($F$11="X",$F$7=10),(Grundtoleranzen!U53),IF(AND($F$11="X",$F$7=11),(Grundtoleranzen!U53),IF(AND($F$11="X",$F$7=12),(Grundtoleranzen!U53),IF(AND($F$11="X",$F$7=13),(Grundtoleranzen!U53),IF(AND($F$11="X",$F$7=14),(Grundtoleranzen!U53),IF(AND($F$11="X",$F$7=15),(Grundtoleranzen!U53),IF(AND($F$11="X",$F$7=16),(Grundtoleranzen!U53),IF(AND($F$11="X",$F$7=17),(Grundtoleranzen!U53),IF(AND($F$11="X",$F$7=18),(Grundtoleranzen!U53),"Error"))))))))))))))))))</f>
        <v>#REF!</v>
      </c>
      <c r="Z21" s="70" t="e">
        <f>IF(AND($F$11="Z",$F$7=1),(Grundtoleranzen!V53),IF(AND($F$11="Z",$F$7=2),(Grundtoleranzen!V53),IF(AND($F$11="Z",$F$7=3),(Grundtoleranzen!V53)+Grundtoleranzen!$Z53,IF(AND($F$11="Z",$F$7=4),(Grundtoleranzen!V53)+Grundtoleranzen!$AA53,IF(AND($F$11="Z",$F$7=5),(Grundtoleranzen!V53)+Grundtoleranzen!$AB53,IF(AND($F$11="Z",$F$7=6),(Grundtoleranzen!V53)+Grundtoleranzen!$AC53,IF(AND($F$11="Z",$F$7=7),(Grundtoleranzen!V53)+Grundtoleranzen!$AD53,IF(AND($F$11="Z",$F$7=8),(Grundtoleranzen!V53),IF(AND($F$11="Z",$F$7=9),(Grundtoleranzen!V53),IF(AND($F$11="Z",$F$7=10),(Grundtoleranzen!V53),IF(AND($F$11="Z",$F$7=11),(Grundtoleranzen!V53),IF(AND($F$11="Z",$F$7=12),(Grundtoleranzen!V53),IF(AND($F$11="Z",$F$7=13),(Grundtoleranzen!V53),IF(AND($F$11="Z",$F$7=14),(Grundtoleranzen!V53),IF(AND($F$11="Z",$F$7=15),(Grundtoleranzen!V53),IF(AND($F$11="Z",$F$7=16),(Grundtoleranzen!V53),IF(AND($F$11="Z",$F$7=17),(Grundtoleranzen!V53),IF(AND($F$11="Z",$F$7=18),(Grundtoleranzen!V53),"Error"))))))))))))))))))</f>
        <v>#REF!</v>
      </c>
      <c r="AA21" s="70" t="e">
        <f>IF(AND($F$11="ZA",$F$7=1),(Grundtoleranzen!W53),IF(AND($F$11="ZA",$F$7=2),(Grundtoleranzen!W53),IF(AND($F$11="ZA",$F$7=3),(Grundtoleranzen!W53)+Grundtoleranzen!$Z53,IF(AND($F$11="ZA",$F$7=4),(Grundtoleranzen!W53)+Grundtoleranzen!$AA53,IF(AND($F$11="ZA",$F$7=5),(Grundtoleranzen!W53)+Grundtoleranzen!$AB53,IF(AND($F$11="ZA",$F$7=6),(Grundtoleranzen!W53)+Grundtoleranzen!$AC53,IF(AND($F$11="ZA",$F$7=7),(Grundtoleranzen!W53)+Grundtoleranzen!$AD53,IF(AND($F$11="ZA",$F$7=8),(Grundtoleranzen!W53),IF(AND($F$11="ZA",$F$7=9),(Grundtoleranzen!W53),IF(AND($F$11="ZA",$F$7=10),(Grundtoleranzen!W53),IF(AND($F$11="ZA",$F$7=11),(Grundtoleranzen!W53),IF(AND($F$11="ZA",$F$7=12),(Grundtoleranzen!W53),IF(AND($F$11="ZA",$F$7=13),(Grundtoleranzen!W53),IF(AND($F$11="ZA",$F$7=14),(Grundtoleranzen!W53),IF(AND($F$11="ZA",$F$7=15),(Grundtoleranzen!W53),IF(AND($F$11="ZA",$F$7=16),(Grundtoleranzen!W53),IF(AND($F$11="ZA",$F$7=17),(Grundtoleranzen!W53),IF(AND($F$11="ZA",$F$7=18),(Grundtoleranzen!W53),"Error"))))))))))))))))))</f>
        <v>#REF!</v>
      </c>
      <c r="AB21" s="70" t="e">
        <f>IF(AND($F$11="ZB",$F$7=1),(Grundtoleranzen!X53),IF(AND($F$11="ZB",$F$7=2),(Grundtoleranzen!X53),IF(AND($F$11="ZB",$F$7=3),(Grundtoleranzen!X53)+Grundtoleranzen!$Z53,IF(AND($F$11="ZB",$F$7=4),(Grundtoleranzen!X53)+Grundtoleranzen!$AA53,IF(AND($F$11="ZB",$F$7=5),(Grundtoleranzen!X53)+Grundtoleranzen!$AB53,IF(AND($F$11="ZB",$F$7=6),(Grundtoleranzen!X53)+Grundtoleranzen!$AC53,IF(AND($F$11="ZB",$F$7=7),(Grundtoleranzen!X53)+Grundtoleranzen!$AD53,IF(AND($F$11="ZB",$F$7=8),(Grundtoleranzen!X53),IF(AND($F$11="ZB",$F$7=9),(Grundtoleranzen!X53),IF(AND($F$11="ZB",$F$7=10),(Grundtoleranzen!X53),IF(AND($F$11="ZB",$F$7=11),(Grundtoleranzen!X53),IF(AND($F$11="ZB",$F$7=12),(Grundtoleranzen!X53),IF(AND($F$11="ZB",$F$7=13),(Grundtoleranzen!X53),IF(AND($F$11="ZB",$F$7=14),(Grundtoleranzen!X53),IF(AND($F$11="ZB",$F$7=15),(Grundtoleranzen!X53),IF(AND($F$11="ZB",$F$7=16),(Grundtoleranzen!X53),IF(AND($F$11="ZB",$F$7=17),(Grundtoleranzen!X53),IF(AND($F$11="ZB",$F$7=18),(Grundtoleranzen!X53),"Error"))))))))))))))))))</f>
        <v>#REF!</v>
      </c>
      <c r="AC21" s="70" t="e">
        <f>IF(AND($F$11="ZC",$F$7=1),(Grundtoleranzen!Y53),IF(AND($F$11="ZC",$F$7=2),(Grundtoleranzen!Y53),IF(AND($F$11="ZC",$F$7=3),(Grundtoleranzen!Y53)+Grundtoleranzen!$Z53,IF(AND($F$11="ZC",$F$7=4),(Grundtoleranzen!Y53)+Grundtoleranzen!$AA53,IF(AND($F$11="ZC",$F$7=5),(Grundtoleranzen!Y53)+Grundtoleranzen!$AB53,IF(AND($F$11="ZC",$F$7=6),(Grundtoleranzen!Y53)+Grundtoleranzen!$AC53,IF(AND($F$11="ZC",$F$7=7),(Grundtoleranzen!Y53)+Grundtoleranzen!$AD53,IF(AND($F$11="ZC",$F$7=8),(Grundtoleranzen!Y53),IF(AND($F$11="ZC",$F$7=9),(Grundtoleranzen!Y53),IF(AND($F$11="ZC",$F$7=10),(Grundtoleranzen!Y53),IF(AND($F$11="ZC",$F$7=11),(Grundtoleranzen!Y53),IF(AND($F$11="ZC",$F$7=12),(Grundtoleranzen!Y53),IF(AND($F$11="ZC",$F$7=13),(Grundtoleranzen!Y53),IF(AND($F$11="ZC",$F$7=14),(Grundtoleranzen!Y53),IF(AND($F$11="ZC",$F$7=15),(Grundtoleranzen!Y53),IF(AND($F$11="ZC",$F$7=16),(Grundtoleranzen!Y53),IF(AND($F$11="ZC",$F$7=17),(Grundtoleranzen!Y53),IF(AND($F$11="ZC",$F$7=18),(Grundtoleranzen!Y53),"Error"))))))))))))))))))</f>
        <v>#REF!</v>
      </c>
    </row>
    <row r="22" spans="1:29" x14ac:dyDescent="0.25">
      <c r="B22" s="66" t="s">
        <v>171</v>
      </c>
      <c r="C22" s="66" t="s">
        <v>114</v>
      </c>
      <c r="H22" s="25" t="s">
        <v>87</v>
      </c>
      <c r="I22" s="38" t="e">
        <f>IF(AND(F$7=1),Grundtoleranzen!B23,IF(AND(F$7=2),Grundtoleranzen!C23,IF(AND(F$7=3),Grundtoleranzen!D23,IF(AND(F$7=4),Grundtoleranzen!E23,IF(AND(F$7=5),Grundtoleranzen!F23,IF(AND(F$7=6),Grundtoleranzen!G23,IF(AND(F$7=7),Grundtoleranzen!H23,IF(AND(F$7=8),Grundtoleranzen!I23,IF(AND(F$7=9),Grundtoleranzen!J23,IF(AND(F$7=10),Grundtoleranzen!K23,IF(AND(F$7=11),Grundtoleranzen!L23,IF(AND(F$7=12),Grundtoleranzen!M23,IF(AND(F$7=13),Grundtoleranzen!N23,IF(AND(F$7=14),Grundtoleranzen!O23,IF(AND(F$7=15),Grundtoleranzen!P23,IF(AND(F$7=16),Grundtoleranzen!Q23,IF(AND(F$7=17),Grundtoleranzen!R23,IF(AND(F$7=18),Grundtoleranzen!S23))))))))))))))))))</f>
        <v>#REF!</v>
      </c>
      <c r="K22" s="24" t="s">
        <v>144</v>
      </c>
      <c r="L22" s="68" t="e">
        <f>IF(AND(F$11="C"),Grundtoleranzen!B54,IF(AND(F$11="D"),Grundtoleranzen!C54,IF(AND(F$11="E"),Grundtoleranzen!D54,IF(AND(F$11="F"),Grundtoleranzen!E54,IF(AND(F$11="G"),Grundtoleranzen!F54,IF(AND(F$11="H"),Grundtoleranzen!G54))))))</f>
        <v>#REF!</v>
      </c>
      <c r="M22" s="25" t="s">
        <v>87</v>
      </c>
      <c r="N22" s="70" t="e">
        <f>IF(AND(F$11="JS",F$7=1),(Grundtoleranzen!B23)/2,IF(AND(F$11="JS",F$7=2),(Grundtoleranzen!C23)/2,IF(AND(F$11="JS",F$7=3),(Grundtoleranzen!D23)/2,IF(AND(F$11="JS",F$7=4),(Grundtoleranzen!E23)/2,IF(AND(F$11="JS",F$7=5),(Grundtoleranzen!F23)/2,IF(AND(F$11="JS",F$7=6),(Grundtoleranzen!G23)/2,IF(AND(F$11="JS",F$7=7),(Grundtoleranzen!H23)/2,IF(AND(F$11="JS",F$7=8),(Grundtoleranzen!I23)/2,IF(AND(F$11="JS",F$7=9),(Grundtoleranzen!J23)/2,IF(AND(F$11="JS",F$7=10),(Grundtoleranzen!K23)/2,IF(AND(F$11="JS",F$7=11),(Grundtoleranzen!L23)/2,IF(AND(F$11="JS",F$7=12),(Grundtoleranzen!M23)/2,IF(AND(F$11="JS",F$7=13),(Grundtoleranzen!N23)/2,IF(AND(F$11="JS",F$7=14),(Grundtoleranzen!O23)/2,IF(AND(F$11="JS",F$7=15),(Grundtoleranzen!P23)/2,IF(AND(F$11="JS",F$7=16),(Grundtoleranzen!Q23)/2,IF(AND(F$11="JS",F$7=17),(Grundtoleranzen!R23)/2,IF(AND(F$11="JS",F$7=18),(Grundtoleranzen!S23)/2))))))))))))))))))*-1</f>
        <v>#REF!</v>
      </c>
      <c r="P22" s="70" t="e">
        <f>IF(AND(F$11="J",F$7=6),(Grundtoleranzen!I54),IF(AND(F$11="J",F$7=7),(Grundtoleranzen!J54),IF(AND(F$11="J",F$7=8),(Grundtoleranzen!K54),"Nur IT6-8")))</f>
        <v>#REF!</v>
      </c>
      <c r="Q22" s="83" t="e">
        <f>IF(AND($F$11="K",$F$7=1),(Grundtoleranzen!L54),IF(AND($F$11="K",$F$7=2),(Grundtoleranzen!L54),IF(AND($F$11="K",$F$7=3),(Grundtoleranzen!L54)+Grundtoleranzen!Z54,IF(AND($F$11="K",$F$7=4),(Grundtoleranzen!L54)+Grundtoleranzen!AA54,IF(AND($F$11="K",$F$7=5),(Grundtoleranzen!L54)+Grundtoleranzen!AB54,IF(AND($F$11="K",$F$7=6),(Grundtoleranzen!L54)+Grundtoleranzen!AC54,IF(AND($F$11="K",$F$7=7),(Grundtoleranzen!L54)+Grundtoleranzen!AD54,IF(AND($F$11="K",$F$7=8),(Grundtoleranzen!L54)+Grundtoleranzen!AE54,"Nur IT 1 - 8"))))))))</f>
        <v>#REF!</v>
      </c>
      <c r="R22" s="70" t="e">
        <f>IF(AND($F$11="M",$F$7=1),(Grundtoleranzen!M54),IF(AND($F$11="M",$F$7=2),(Grundtoleranzen!M54),IF(AND($F$11="M",$F$7=3),(Grundtoleranzen!M54)+Grundtoleranzen!$Z54,IF(AND($F$11="M",$F$7=4),(Grundtoleranzen!M54)+Grundtoleranzen!$AA54,IF(AND($F$11="M",$F$7=5),(Grundtoleranzen!M54)+Grundtoleranzen!$AB54,IF(AND($F$11="M",$F$7=6),(Grundtoleranzen!M54)+Grundtoleranzen!$AC54,IF(AND($F$11="M",$F$7=7),(Grundtoleranzen!M54)+Grundtoleranzen!$AD54,IF(AND($F$11="M",$F$7=8),(Grundtoleranzen!M54)+Grundtoleranzen!$AE54,IF(AND($F$11="M",$F$7=9),(Grundtoleranzen!M54),IF(AND($F$11="M",$F$7=10),(Grundtoleranzen!M54),IF(AND($F$11="M",$F$7=11),(Grundtoleranzen!M54),IF(AND($F$11="M",$F$7=12),(Grundtoleranzen!M54),IF(AND($F$11="M",$F$7=13),(Grundtoleranzen!M54),IF(AND($F$11="M",$F$7=14),(Grundtoleranzen!M54),IF(AND($F$11="M",$F$7=15),(Grundtoleranzen!M54),IF(AND($F$11="M",$F$7=16),(Grundtoleranzen!M54),IF(AND($F$11="M",$F$7=17),(Grundtoleranzen!M54),IF(AND($F$11="M",$F$7=18),(Grundtoleranzen!M54),"Error"))))))))))))))))))</f>
        <v>#REF!</v>
      </c>
      <c r="S22" s="70" t="e">
        <f>IF(AND($F$11="N",$F$7=1),(Grundtoleranzen!N54),IF(AND($F$11="N",$F$7=2),(Grundtoleranzen!N54),IF(AND($F$11="N",$F$7=3),(Grundtoleranzen!N54)+Grundtoleranzen!$Z54,IF(AND($F$11="N",$F$7=4),(Grundtoleranzen!N54)+Grundtoleranzen!$AA54,IF(AND($F$11="N",$F$7=5),(Grundtoleranzen!N54)+Grundtoleranzen!$AB54,IF(AND($F$11="N",$F$7=6),(Grundtoleranzen!N54)+Grundtoleranzen!$AC54,IF(AND($F$11="N",$F$7=7),(Grundtoleranzen!N54)+Grundtoleranzen!$AD54,IF(AND($F$11="N",$F$7=8),(Grundtoleranzen!N54)+Grundtoleranzen!$AE54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#REF!</v>
      </c>
      <c r="T22" s="70" t="e">
        <f>IF(AND($F$11="P",$F$7=1),(Grundtoleranzen!P54),IF(AND($F$11="P",$F$7=2),(Grundtoleranzen!P54),IF(AND($F$11="P",$F$7=3),(Grundtoleranzen!P54)+Grundtoleranzen!$Z54,IF(AND($F$11="P",$F$7=4),(Grundtoleranzen!P54)+Grundtoleranzen!$AA54,IF(AND($F$11="P",$F$7=5),(Grundtoleranzen!P54)+Grundtoleranzen!$AB54,IF(AND($F$11="P",$F$7=6),(Grundtoleranzen!P54)+Grundtoleranzen!$AC54,IF(AND($F$11="P",$F$7=7),(Grundtoleranzen!P54)+Grundtoleranzen!$AD54,IF(AND($F$11="P",$F$7=8),(Grundtoleranzen!P54),IF(AND($F$11="P",$F$7=9),(Grundtoleranzen!P54),IF(AND($F$11="P",$F$7=10),(Grundtoleranzen!P54),IF(AND($F$11="P",$F$7=11),(Grundtoleranzen!P54),IF(AND($F$11="P",$F$7=12),(Grundtoleranzen!P54),IF(AND($F$11="P",$F$7=13),(Grundtoleranzen!P54),IF(AND($F$11="P",$F$7=14),(Grundtoleranzen!P54),IF(AND($F$11="P",$F$7=15),(Grundtoleranzen!P54),IF(AND($F$11="P",$F$7=16),(Grundtoleranzen!P54),IF(AND($F$11="P",$F$7=17),(Grundtoleranzen!P54),IF(AND($F$11="P",$F$7=18),(Grundtoleranzen!P54),"Error"))))))))))))))))))</f>
        <v>#REF!</v>
      </c>
      <c r="U22" s="70" t="e">
        <f>IF(AND($F$11="R",$F$7=1),(Grundtoleranzen!Q54),IF(AND($F$11="R",$F$7=2),(Grundtoleranzen!Q54),IF(AND($F$11="R",$F$7=3),(Grundtoleranzen!Q54)+Grundtoleranzen!$Z54,IF(AND($F$11="R",$F$7=4),(Grundtoleranzen!Q54)+Grundtoleranzen!$AA54,IF(AND($F$11="R",$F$7=5),(Grundtoleranzen!Q54)+Grundtoleranzen!$AB54,IF(AND($F$11="R",$F$7=6),(Grundtoleranzen!Q54)+Grundtoleranzen!$AC54,IF(AND($F$11="R",$F$7=7),(Grundtoleranzen!Q54)+Grundtoleranzen!$AD54,IF(AND($F$11="R",$F$7=8),(Grundtoleranzen!Q54)+Grundtoleranzen!$AE54,IF(AND($F$11="R",$F$7=9),(Grundtoleranzen!Q54),IF(AND($F$11="R",$F$7=10),(Grundtoleranzen!Q54),IF(AND($F$11="R",$F$7=11),(Grundtoleranzen!Q54),IF(AND($F$11="R",$F$7=12),(Grundtoleranzen!Q54),IF(AND($F$11="R",$F$7=13),(Grundtoleranzen!Q54),IF(AND($F$11="R",$F$7=14),(Grundtoleranzen!Q54),IF(AND($F$11="R",$F$7=15),(Grundtoleranzen!Q54),IF(AND($F$11="R",$F$7=16),(Grundtoleranzen!Q54),IF(AND($F$11="R",$F$7=17),(Grundtoleranzen!Q54),IF(AND($F$11="R",$F$7=18),(Grundtoleranzen!Q54),"Error"))))))))))))))))))</f>
        <v>#REF!</v>
      </c>
      <c r="V22" s="70" t="e">
        <f>IF(AND($F$11="S",$F$7=1),Grundtoleranzen!R54,IF(AND($F$11="S",$F$7=2),(Grundtoleranzen!R54),IF(AND($F$11="S",$F$7=3),(Grundtoleranzen!R54)+Grundtoleranzen!$Z54,IF(AND($F$11="S",$F$7=4),(Grundtoleranzen!R54)+Grundtoleranzen!$AA54,IF(AND($F$11="S",$F$7=5),(Grundtoleranzen!R54)+Grundtoleranzen!$AB54,IF(AND($F$11="S",$F$7=6),(Grundtoleranzen!R54)+Grundtoleranzen!$AC54,IF(AND($F$11="S",$F$7=7),(Grundtoleranzen!R54)+Grundtoleranzen!$AD54,IF(AND($F$11="S",$F$7=8),(Grundtoleranzen!R54),IF(AND($F$11="S",$F$7=9),(Grundtoleranzen!R54),IF(AND($F$11="S",$F$7=10),(Grundtoleranzen!R54),IF(AND($F$11="S",$F$7=11),(Grundtoleranzen!R54),IF(AND($F$11="S",$F$7=12),(Grundtoleranzen!R54),IF(AND($F$11="S",$F$7=13),(Grundtoleranzen!R54),IF(AND($F$11="S",$F$7=14),(Grundtoleranzen!R54),IF(AND($F$11="S",$F$7=15),(Grundtoleranzen!R54),IF(AND($F$11="S",$F$7=16),(Grundtoleranzen!R54),IF(AND($F$11="S",$F$7=17),(Grundtoleranzen!R54),IF(AND($F$11="S",$F$7=18),(Grundtoleranzen!R54),"Error"))))))))))))))))))</f>
        <v>#REF!</v>
      </c>
      <c r="W22" s="70" t="e">
        <f>IF(AND($F$11="T",$F$7=1),(Grundtoleranzen!S54),IF(AND($F$11="T",$F$7=2),(Grundtoleranzen!S54),IF(AND($F$11="T",$F$7=3),(Grundtoleranzen!S54)+Grundtoleranzen!$Z54,IF(AND($F$11="T",$F$7=4),(Grundtoleranzen!S54)+Grundtoleranzen!$AA54,IF(AND($F$11="T",$F$7=5),(Grundtoleranzen!S54)+Grundtoleranzen!$AB54,IF(AND($F$11="T",$F$7=6),(Grundtoleranzen!S54)+Grundtoleranzen!$AC54,IF(AND($F$11="T",$F$7=7),(Grundtoleranzen!S54)+Grundtoleranzen!$AD54,IF(AND($F$11="T",$F$7=8),(Grundtoleranzen!S54),IF(AND($F$11="T",$F$7=9),(Grundtoleranzen!S54),IF(AND($F$11="T",$F$7=10),(Grundtoleranzen!S54),IF(AND($F$11="T",$F$7=11),(Grundtoleranzen!S54),IF(AND($F$11="T",$F$7=12),(Grundtoleranzen!S54),IF(AND($F$11="T",$F$7=13),(Grundtoleranzen!S54),IF(AND($F$11="T",$F$7=14),(Grundtoleranzen!S54),IF(AND($F$11="T",$F$7=15),(Grundtoleranzen!S54),IF(AND($F$11="T",$F$7=16),(Grundtoleranzen!S54),IF(AND($F$11="T",$F$7=17),(Grundtoleranzen!S54),IF(AND($F$11="T",$F$7=18),(Grundtoleranzen!S54),"Error"))))))))))))))))))</f>
        <v>#REF!</v>
      </c>
      <c r="X22" s="70" t="e">
        <f>IF(AND($F$11="U",$F$7=1),(Grundtoleranzen!T54),IF(AND($F$11="U",$F$7=2),(Grundtoleranzen!T54),IF(AND($F$11="U",$F$7=3),(Grundtoleranzen!T54)+Grundtoleranzen!$Z54,IF(AND($F$11="U",$F$7=4),(Grundtoleranzen!T54)+Grundtoleranzen!$AA54,IF(AND($F$11="U",$F$7=5),(Grundtoleranzen!T54)+Grundtoleranzen!$AB54,IF(AND($F$11="U",$F$7=6),(Grundtoleranzen!T54)+Grundtoleranzen!$AC54,IF(AND($F$11="U",$F$7=7),(Grundtoleranzen!T54)+Grundtoleranzen!$AD54,IF(AND($F$11="U",$F$7=8),(Grundtoleranzen!T54),IF(AND($F$11="U",$F$7=9),(Grundtoleranzen!T54),IF(AND($F$11="U",$F$7=10),(Grundtoleranzen!T54),IF(AND($F$11="U",$F$7=11),(Grundtoleranzen!T54),IF(AND($F$11="U",$F$7=12),(Grundtoleranzen!T54),IF(AND($F$11="U",$F$7=13),(Grundtoleranzen!T54),IF(AND($F$11="U",$F$7=14),(Grundtoleranzen!T54),IF(AND($F$11="U",$F$7=15),(Grundtoleranzen!T54),IF(AND($F$11="U",$F$7=16),(Grundtoleranzen!T54),IF(AND($F$11="U",$F$7=17),(Grundtoleranzen!T54),IF(AND($F$11="U",$F$7=18),(Grundtoleranzen!T54),"Error"))))))))))))))))))</f>
        <v>#REF!</v>
      </c>
      <c r="Y22" s="70" t="e">
        <f>IF(AND($F$11="X",$F$7=1),(Grundtoleranzen!U54),IF(AND($F$11="X",$F$7=2),(Grundtoleranzen!U54),IF(AND($F$11="X",$F$7=3),(Grundtoleranzen!U54)+Grundtoleranzen!$Z54,IF(AND($F$11="X",$F$7=4),(Grundtoleranzen!U54)+Grundtoleranzen!$AA54,IF(AND($F$11="X",$F$7=5),(Grundtoleranzen!U54)+Grundtoleranzen!$AB54,IF(AND($F$11="X",$F$7=6),(Grundtoleranzen!U54)+Grundtoleranzen!$AC54,IF(AND($F$11="X",$F$7=7),(Grundtoleranzen!U54)+Grundtoleranzen!$AD54,IF(AND($F$11="X",$F$7=8),(Grundtoleranzen!U54)+Grundtoleranzen!$AE54,IF(AND($F$11="X",$F$7=9),(Grundtoleranzen!U54),IF(AND($F$11="X",$F$7=10),(Grundtoleranzen!U54),IF(AND($F$11="X",$F$7=11),(Grundtoleranzen!U54),IF(AND($F$11="X",$F$7=12),(Grundtoleranzen!U54),IF(AND($F$11="X",$F$7=13),(Grundtoleranzen!U54),IF(AND($F$11="X",$F$7=14),(Grundtoleranzen!U54),IF(AND($F$11="X",$F$7=15),(Grundtoleranzen!U54),IF(AND($F$11="X",$F$7=16),(Grundtoleranzen!U54),IF(AND($F$11="X",$F$7=17),(Grundtoleranzen!U54),IF(AND($F$11="X",$F$7=18),(Grundtoleranzen!U54),"Error"))))))))))))))))))</f>
        <v>#REF!</v>
      </c>
      <c r="Z22" s="70" t="e">
        <f>IF(AND($F$11="Z",$F$7=1),(Grundtoleranzen!V54),IF(AND($F$11="Z",$F$7=2),(Grundtoleranzen!V54),IF(AND($F$11="Z",$F$7=3),(Grundtoleranzen!V54)+Grundtoleranzen!$Z54,IF(AND($F$11="Z",$F$7=4),(Grundtoleranzen!V54)+Grundtoleranzen!$AA54,IF(AND($F$11="Z",$F$7=5),(Grundtoleranzen!V54)+Grundtoleranzen!$AB54,IF(AND($F$11="Z",$F$7=6),(Grundtoleranzen!V54)+Grundtoleranzen!$AC54,IF(AND($F$11="Z",$F$7=7),(Grundtoleranzen!V54)+Grundtoleranzen!$AD54,IF(AND($F$11="Z",$F$7=8),(Grundtoleranzen!V54),IF(AND($F$11="Z",$F$7=9),(Grundtoleranzen!V54),IF(AND($F$11="Z",$F$7=10),(Grundtoleranzen!V54),IF(AND($F$11="Z",$F$7=11),(Grundtoleranzen!V54),IF(AND($F$11="Z",$F$7=12),(Grundtoleranzen!V54),IF(AND($F$11="Z",$F$7=13),(Grundtoleranzen!V54),IF(AND($F$11="Z",$F$7=14),(Grundtoleranzen!V54),IF(AND($F$11="Z",$F$7=15),(Grundtoleranzen!V54),IF(AND($F$11="Z",$F$7=16),(Grundtoleranzen!V54),IF(AND($F$11="Z",$F$7=17),(Grundtoleranzen!V54),IF(AND($F$11="Z",$F$7=18),(Grundtoleranzen!V54),"Error"))))))))))))))))))</f>
        <v>#REF!</v>
      </c>
      <c r="AA22" s="70" t="e">
        <f>IF(AND($F$11="ZA",$F$7=1),(Grundtoleranzen!W54),IF(AND($F$11="ZA",$F$7=2),(Grundtoleranzen!W54),IF(AND($F$11="ZA",$F$7=3),(Grundtoleranzen!W54)+Grundtoleranzen!$Z54,IF(AND($F$11="ZA",$F$7=4),(Grundtoleranzen!W54)+Grundtoleranzen!$AA54,IF(AND($F$11="ZA",$F$7=5),(Grundtoleranzen!W54)+Grundtoleranzen!$AB54,IF(AND($F$11="ZA",$F$7=6),(Grundtoleranzen!W54)+Grundtoleranzen!$AC54,IF(AND($F$11="ZA",$F$7=7),(Grundtoleranzen!W54)+Grundtoleranzen!$AD54,IF(AND($F$11="ZA",$F$7=8),(Grundtoleranzen!W54),IF(AND($F$11="ZA",$F$7=9),(Grundtoleranzen!W54),IF(AND($F$11="ZA",$F$7=10),(Grundtoleranzen!W54),IF(AND($F$11="ZA",$F$7=11),(Grundtoleranzen!W54),IF(AND($F$11="ZA",$F$7=12),(Grundtoleranzen!W54),IF(AND($F$11="ZA",$F$7=13),(Grundtoleranzen!W54),IF(AND($F$11="ZA",$F$7=14),(Grundtoleranzen!W54),IF(AND($F$11="ZA",$F$7=15),(Grundtoleranzen!W54),IF(AND($F$11="ZA",$F$7=16),(Grundtoleranzen!W54),IF(AND($F$11="ZA",$F$7=17),(Grundtoleranzen!W54),IF(AND($F$11="ZA",$F$7=18),(Grundtoleranzen!W54),"Error"))))))))))))))))))</f>
        <v>#REF!</v>
      </c>
      <c r="AB22" s="70" t="e">
        <f>IF(AND($F$11="ZB",$F$7=1),(Grundtoleranzen!X54),IF(AND($F$11="ZB",$F$7=2),(Grundtoleranzen!X54),IF(AND($F$11="ZB",$F$7=3),(Grundtoleranzen!X54)+Grundtoleranzen!$Z54,IF(AND($F$11="ZB",$F$7=4),(Grundtoleranzen!X54)+Grundtoleranzen!$AA54,IF(AND($F$11="ZB",$F$7=5),(Grundtoleranzen!X54)+Grundtoleranzen!$AB54,IF(AND($F$11="ZB",$F$7=6),(Grundtoleranzen!X54)+Grundtoleranzen!$AC54,IF(AND($F$11="ZB",$F$7=7),(Grundtoleranzen!X54)+Grundtoleranzen!$AD54,IF(AND($F$11="ZB",$F$7=8),(Grundtoleranzen!X54),IF(AND($F$11="ZB",$F$7=9),(Grundtoleranzen!X54),IF(AND($F$11="ZB",$F$7=10),(Grundtoleranzen!X54),IF(AND($F$11="ZB",$F$7=11),(Grundtoleranzen!X54),IF(AND($F$11="ZB",$F$7=12),(Grundtoleranzen!X54),IF(AND($F$11="ZB",$F$7=13),(Grundtoleranzen!X54),IF(AND($F$11="ZB",$F$7=14),(Grundtoleranzen!X54),IF(AND($F$11="ZB",$F$7=15),(Grundtoleranzen!X54),IF(AND($F$11="ZB",$F$7=16),(Grundtoleranzen!X54),IF(AND($F$11="ZB",$F$7=17),(Grundtoleranzen!X54),IF(AND($F$11="ZB",$F$7=18),(Grundtoleranzen!X54),"Error"))))))))))))))))))</f>
        <v>#REF!</v>
      </c>
      <c r="AC22" s="70" t="e">
        <f>IF(AND($F$11="ZC",$F$7=1),(Grundtoleranzen!Y54),IF(AND($F$11="ZC",$F$7=2),(Grundtoleranzen!Y54),IF(AND($F$11="ZC",$F$7=3),(Grundtoleranzen!Y54)+Grundtoleranzen!$Z54,IF(AND($F$11="ZC",$F$7=4),(Grundtoleranzen!Y54)+Grundtoleranzen!$AA54,IF(AND($F$11="ZC",$F$7=5),(Grundtoleranzen!Y54)+Grundtoleranzen!$AB54,IF(AND($F$11="ZC",$F$7=6),(Grundtoleranzen!Y54)+Grundtoleranzen!$AC54,IF(AND($F$11="ZC",$F$7=7),(Grundtoleranzen!Y54)+Grundtoleranzen!$AD54,IF(AND($F$11="ZC",$F$7=8),(Grundtoleranzen!Y54),IF(AND($F$11="ZC",$F$7=9),(Grundtoleranzen!Y54),IF(AND($F$11="ZC",$F$7=10),(Grundtoleranzen!Y54),IF(AND($F$11="ZC",$F$7=11),(Grundtoleranzen!Y54),IF(AND($F$11="ZC",$F$7=12),(Grundtoleranzen!Y54),IF(AND($F$11="ZC",$F$7=13),(Grundtoleranzen!Y54),IF(AND($F$11="ZC",$F$7=14),(Grundtoleranzen!Y54),IF(AND($F$11="ZC",$F$7=15),(Grundtoleranzen!Y54),IF(AND($F$11="ZC",$F$7=16),(Grundtoleranzen!Y54),IF(AND($F$11="ZC",$F$7=17),(Grundtoleranzen!Y54),IF(AND($F$11="ZC",$F$7=18),(Grundtoleranzen!Y54),"Error"))))))))))))))))))</f>
        <v>#REF!</v>
      </c>
    </row>
    <row r="23" spans="1:29" ht="15.75" thickBot="1" x14ac:dyDescent="0.3">
      <c r="B23" s="67" t="s">
        <v>172</v>
      </c>
      <c r="C23" s="67" t="s">
        <v>115</v>
      </c>
      <c r="H23" s="25" t="s">
        <v>88</v>
      </c>
      <c r="I23" s="38" t="e">
        <f>IF(AND(F$7=1),Grundtoleranzen!B24,IF(AND(F$7=2),Grundtoleranzen!C24,IF(AND(F$7=3),Grundtoleranzen!D24,IF(AND(F$7=4),Grundtoleranzen!E24,IF(AND(F$7=5),Grundtoleranzen!F24,IF(AND(F$7=6),Grundtoleranzen!G24,IF(AND(F$7=7),Grundtoleranzen!H24,IF(AND(F$7=8),Grundtoleranzen!I24,IF(AND(F$7=9),Grundtoleranzen!J24,IF(AND(F$7=10),Grundtoleranzen!K24,IF(AND(F$7=11),Grundtoleranzen!L24,IF(AND(F$7=12),Grundtoleranzen!M24,IF(AND(F$7=13),Grundtoleranzen!N24,IF(AND(F$7=14),Grundtoleranzen!O24,IF(AND(F$7=15),Grundtoleranzen!P24,IF(AND(F$7=16),Grundtoleranzen!Q24,IF(AND(F$7=17),Grundtoleranzen!R24,IF(AND(F$7=18),Grundtoleranzen!S24))))))))))))))))))</f>
        <v>#REF!</v>
      </c>
      <c r="K23" s="24" t="s">
        <v>145</v>
      </c>
      <c r="L23" s="68" t="e">
        <f>IF(AND(F$11="C"),Grundtoleranzen!B55,IF(AND(F$11="D"),Grundtoleranzen!C55,IF(AND(F$11="E"),Grundtoleranzen!D55,IF(AND(F$11="F"),Grundtoleranzen!E55,IF(AND(F$11="G"),Grundtoleranzen!F55,IF(AND(F$11="H"),Grundtoleranzen!G55))))))</f>
        <v>#REF!</v>
      </c>
      <c r="M23" s="25" t="s">
        <v>88</v>
      </c>
      <c r="N23" s="70" t="e">
        <f>IF(AND(F$11="JS",F$7=1),(Grundtoleranzen!B24)/2,IF(AND(F$11="JS",F$7=2),(Grundtoleranzen!C24)/2,IF(AND(F$11="JS",F$7=3),(Grundtoleranzen!D24)/2,IF(AND(F$11="JS",F$7=4),(Grundtoleranzen!E24)/2,IF(AND(F$11="JS",F$7=5),(Grundtoleranzen!F24)/2,IF(AND(F$11="JS",F$7=6),(Grundtoleranzen!G24)/2,IF(AND(F$11="JS",F$7=7),(Grundtoleranzen!H24)/2,IF(AND(F$11="JS",F$7=8),(Grundtoleranzen!I24)/2,IF(AND(F$11="JS",F$7=9),(Grundtoleranzen!J24)/2,IF(AND(F$11="JS",F$7=10),(Grundtoleranzen!K24)/2,IF(AND(F$11="JS",F$7=11),(Grundtoleranzen!L24)/2,IF(AND(F$11="JS",F$7=12),(Grundtoleranzen!M24)/2,IF(AND(F$11="JS",F$7=13),(Grundtoleranzen!N24)/2,IF(AND(F$11="JS",F$7=14),(Grundtoleranzen!O24)/2,IF(AND(F$11="JS",F$7=15),(Grundtoleranzen!P24)/2,IF(AND(F$11="JS",F$7=16),(Grundtoleranzen!Q24)/2,IF(AND(F$11="JS",F$7=17),(Grundtoleranzen!R24)/2,IF(AND(F$11="JS",F$7=18),(Grundtoleranzen!S24)/2))))))))))))))))))*-1</f>
        <v>#REF!</v>
      </c>
      <c r="P23" s="70" t="e">
        <f>IF(AND(F$11="J",F$7=6),(Grundtoleranzen!I55),IF(AND(F$11="J",F$7=7),(Grundtoleranzen!J55),IF(AND(F$11="J",F$7=8),(Grundtoleranzen!K55),"Nur IT6-8")))</f>
        <v>#REF!</v>
      </c>
      <c r="Q23" s="83" t="e">
        <f>IF(AND($F$11="K",$F$7=1),(Grundtoleranzen!L55),IF(AND($F$11="K",$F$7=2),(Grundtoleranzen!L55),IF(AND($F$11="K",$F$7=3),(Grundtoleranzen!L55)+Grundtoleranzen!Z55,IF(AND($F$11="K",$F$7=4),(Grundtoleranzen!L55)+Grundtoleranzen!AA55,IF(AND($F$11="K",$F$7=5),(Grundtoleranzen!L55)+Grundtoleranzen!AB55,IF(AND($F$11="K",$F$7=6),(Grundtoleranzen!L55)+Grundtoleranzen!AC55,IF(AND($F$11="K",$F$7=7),(Grundtoleranzen!L55)+Grundtoleranzen!AD55,IF(AND($F$11="K",$F$7=8),(Grundtoleranzen!L55)+Grundtoleranzen!AE55,"Nur IT 1 - 8"))))))))</f>
        <v>#REF!</v>
      </c>
      <c r="R23" s="70" t="e">
        <f>IF(AND($F$11="M",$F$7=1),(Grundtoleranzen!M55),IF(AND($F$11="M",$F$7=2),(Grundtoleranzen!M55),IF(AND($F$11="M",$F$7=3),(Grundtoleranzen!M55)+Grundtoleranzen!$Z55,IF(AND($F$11="M",$F$7=4),(Grundtoleranzen!M55)+Grundtoleranzen!$AA55,IF(AND($F$11="M",$F$7=5),(Grundtoleranzen!M55)+Grundtoleranzen!$AB55,IF(AND($F$11="M",$F$7=6),(Grundtoleranzen!M55)+Grundtoleranzen!$AC55,IF(AND($F$11="M",$F$7=7),(Grundtoleranzen!M55)+Grundtoleranzen!$AD55,IF(AND($F$11="M",$F$7=8),(Grundtoleranzen!M55)+Grundtoleranzen!$AE55,IF(AND($F$11="M",$F$7=9),(Grundtoleranzen!M55),IF(AND($F$11="M",$F$7=10),(Grundtoleranzen!M55),IF(AND($F$11="M",$F$7=11),(Grundtoleranzen!M55),IF(AND($F$11="M",$F$7=12),(Grundtoleranzen!M55),IF(AND($F$11="M",$F$7=13),(Grundtoleranzen!M55),IF(AND($F$11="M",$F$7=14),(Grundtoleranzen!M55),IF(AND($F$11="M",$F$7=15),(Grundtoleranzen!M55),IF(AND($F$11="M",$F$7=16),(Grundtoleranzen!M55),IF(AND($F$11="M",$F$7=17),(Grundtoleranzen!M55),IF(AND($F$11="M",$F$7=18),(Grundtoleranzen!M55),"Error"))))))))))))))))))</f>
        <v>#REF!</v>
      </c>
      <c r="S23" s="70" t="e">
        <f>IF(AND($F$11="N",$F$7=1),(Grundtoleranzen!N55),IF(AND($F$11="N",$F$7=2),(Grundtoleranzen!N55),IF(AND($F$11="N",$F$7=3),(Grundtoleranzen!N55)+Grundtoleranzen!$Z55,IF(AND($F$11="N",$F$7=4),(Grundtoleranzen!N55)+Grundtoleranzen!$AA55,IF(AND($F$11="N",$F$7=5),(Grundtoleranzen!N55)+Grundtoleranzen!$AB55,IF(AND($F$11="N",$F$7=6),(Grundtoleranzen!N55)+Grundtoleranzen!$AC55,IF(AND($F$11="N",$F$7=7),(Grundtoleranzen!N55)+Grundtoleranzen!$AD55,IF(AND($F$11="N",$F$7=8),(Grundtoleranzen!N55)+Grundtoleranzen!$AE55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#REF!</v>
      </c>
      <c r="T23" s="70" t="e">
        <f>IF(AND($F$11="P",$F$7=1),(Grundtoleranzen!P55),IF(AND($F$11="P",$F$7=2),(Grundtoleranzen!P55),IF(AND($F$11="P",$F$7=3),(Grundtoleranzen!P55)+Grundtoleranzen!$Z55,IF(AND($F$11="P",$F$7=4),(Grundtoleranzen!P55)+Grundtoleranzen!$AA55,IF(AND($F$11="P",$F$7=5),(Grundtoleranzen!P55)+Grundtoleranzen!$AB55,IF(AND($F$11="P",$F$7=6),(Grundtoleranzen!P55)+Grundtoleranzen!$AC55,IF(AND($F$11="P",$F$7=7),(Grundtoleranzen!P55)+Grundtoleranzen!$AD55,IF(AND($F$11="P",$F$7=8),(Grundtoleranzen!P55),IF(AND($F$11="P",$F$7=9),(Grundtoleranzen!P55),IF(AND($F$11="P",$F$7=10),(Grundtoleranzen!P55),IF(AND($F$11="P",$F$7=11),(Grundtoleranzen!P55),IF(AND($F$11="P",$F$7=12),(Grundtoleranzen!P55),IF(AND($F$11="P",$F$7=13),(Grundtoleranzen!P55),IF(AND($F$11="P",$F$7=14),(Grundtoleranzen!P55),IF(AND($F$11="P",$F$7=15),(Grundtoleranzen!P55),IF(AND($F$11="P",$F$7=16),(Grundtoleranzen!P55),IF(AND($F$11="P",$F$7=17),(Grundtoleranzen!P55),IF(AND($F$11="P",$F$7=18),(Grundtoleranzen!P55),"Error"))))))))))))))))))</f>
        <v>#REF!</v>
      </c>
      <c r="U23" s="70" t="e">
        <f>IF(AND($F$11="R",$F$7=1),(Grundtoleranzen!Q55),IF(AND($F$11="R",$F$7=2),(Grundtoleranzen!Q55),IF(AND($F$11="R",$F$7=3),(Grundtoleranzen!Q55)+Grundtoleranzen!$Z55,IF(AND($F$11="R",$F$7=4),(Grundtoleranzen!Q55)+Grundtoleranzen!$AA55,IF(AND($F$11="R",$F$7=5),(Grundtoleranzen!Q55)+Grundtoleranzen!$AB55,IF(AND($F$11="R",$F$7=6),(Grundtoleranzen!Q55)+Grundtoleranzen!$AC55,IF(AND($F$11="R",$F$7=7),(Grundtoleranzen!Q55)+Grundtoleranzen!$AD55,IF(AND($F$11="R",$F$7=8),(Grundtoleranzen!Q55)+Grundtoleranzen!$AE55,IF(AND($F$11="R",$F$7=9),(Grundtoleranzen!Q55),IF(AND($F$11="R",$F$7=10),(Grundtoleranzen!Q55),IF(AND($F$11="R",$F$7=11),(Grundtoleranzen!Q55),IF(AND($F$11="R",$F$7=12),(Grundtoleranzen!Q55),IF(AND($F$11="R",$F$7=13),(Grundtoleranzen!Q55),IF(AND($F$11="R",$F$7=14),(Grundtoleranzen!Q55),IF(AND($F$11="R",$F$7=15),(Grundtoleranzen!Q55),IF(AND($F$11="R",$F$7=16),(Grundtoleranzen!Q55),IF(AND($F$11="R",$F$7=17),(Grundtoleranzen!Q55),IF(AND($F$11="R",$F$7=18),(Grundtoleranzen!Q55),"Error"))))))))))))))))))</f>
        <v>#REF!</v>
      </c>
      <c r="V23" s="70" t="e">
        <f>IF(AND($F$11="S",$F$7=1),Grundtoleranzen!R55,IF(AND($F$11="S",$F$7=2),(Grundtoleranzen!R55),IF(AND($F$11="S",$F$7=3),(Grundtoleranzen!R55)+Grundtoleranzen!$Z55,IF(AND($F$11="S",$F$7=4),(Grundtoleranzen!R55)+Grundtoleranzen!$AA55,IF(AND($F$11="S",$F$7=5),(Grundtoleranzen!R55)+Grundtoleranzen!$AB55,IF(AND($F$11="S",$F$7=6),(Grundtoleranzen!R55)+Grundtoleranzen!$AC55,IF(AND($F$11="S",$F$7=7),(Grundtoleranzen!R55)+Grundtoleranzen!$AD55,IF(AND($F$11="S",$F$7=8),(Grundtoleranzen!R55),IF(AND($F$11="S",$F$7=9),(Grundtoleranzen!R55),IF(AND($F$11="S",$F$7=10),(Grundtoleranzen!R55),IF(AND($F$11="S",$F$7=11),(Grundtoleranzen!R55),IF(AND($F$11="S",$F$7=12),(Grundtoleranzen!R55),IF(AND($F$11="S",$F$7=13),(Grundtoleranzen!R55),IF(AND($F$11="S",$F$7=14),(Grundtoleranzen!R55),IF(AND($F$11="S",$F$7=15),(Grundtoleranzen!R55),IF(AND($F$11="S",$F$7=16),(Grundtoleranzen!R55),IF(AND($F$11="S",$F$7=17),(Grundtoleranzen!R55),IF(AND($F$11="S",$F$7=18),(Grundtoleranzen!R55),"Error"))))))))))))))))))</f>
        <v>#REF!</v>
      </c>
      <c r="W23" s="70" t="e">
        <f>IF(AND($F$11="T",$F$7=1),(Grundtoleranzen!S55),IF(AND($F$11="T",$F$7=2),(Grundtoleranzen!S55),IF(AND($F$11="T",$F$7=3),(Grundtoleranzen!S55)+Grundtoleranzen!$Z55,IF(AND($F$11="T",$F$7=4),(Grundtoleranzen!S55)+Grundtoleranzen!$AA55,IF(AND($F$11="T",$F$7=5),(Grundtoleranzen!S55)+Grundtoleranzen!$AB55,IF(AND($F$11="T",$F$7=6),(Grundtoleranzen!S55)+Grundtoleranzen!$AC55,IF(AND($F$11="T",$F$7=7),(Grundtoleranzen!S55)+Grundtoleranzen!$AD55,IF(AND($F$11="T",$F$7=8),(Grundtoleranzen!S55),IF(AND($F$11="T",$F$7=9),(Grundtoleranzen!S55),IF(AND($F$11="T",$F$7=10),(Grundtoleranzen!S55),IF(AND($F$11="T",$F$7=11),(Grundtoleranzen!S55),IF(AND($F$11="T",$F$7=12),(Grundtoleranzen!S55),IF(AND($F$11="T",$F$7=13),(Grundtoleranzen!S55),IF(AND($F$11="T",$F$7=14),(Grundtoleranzen!S55),IF(AND($F$11="T",$F$7=15),(Grundtoleranzen!S55),IF(AND($F$11="T",$F$7=16),(Grundtoleranzen!S55),IF(AND($F$11="T",$F$7=17),(Grundtoleranzen!S55),IF(AND($F$11="T",$F$7=18),(Grundtoleranzen!S55),"Error"))))))))))))))))))</f>
        <v>#REF!</v>
      </c>
      <c r="X23" s="70" t="e">
        <f>IF(AND($F$11="U",$F$7=1),(Grundtoleranzen!T55),IF(AND($F$11="U",$F$7=2),(Grundtoleranzen!T55),IF(AND($F$11="U",$F$7=3),(Grundtoleranzen!T55)+Grundtoleranzen!$Z55,IF(AND($F$11="U",$F$7=4),(Grundtoleranzen!T55)+Grundtoleranzen!$AA55,IF(AND($F$11="U",$F$7=5),(Grundtoleranzen!T55)+Grundtoleranzen!$AB55,IF(AND($F$11="U",$F$7=6),(Grundtoleranzen!T55)+Grundtoleranzen!$AC55,IF(AND($F$11="U",$F$7=7),(Grundtoleranzen!T55)+Grundtoleranzen!$AD55,IF(AND($F$11="U",$F$7=8),(Grundtoleranzen!T55),IF(AND($F$11="U",$F$7=9),(Grundtoleranzen!T55),IF(AND($F$11="U",$F$7=10),(Grundtoleranzen!T55),IF(AND($F$11="U",$F$7=11),(Grundtoleranzen!T55),IF(AND($F$11="U",$F$7=12),(Grundtoleranzen!T55),IF(AND($F$11="U",$F$7=13),(Grundtoleranzen!T55),IF(AND($F$11="U",$F$7=14),(Grundtoleranzen!T55),IF(AND($F$11="U",$F$7=15),(Grundtoleranzen!T55),IF(AND($F$11="U",$F$7=16),(Grundtoleranzen!T55),IF(AND($F$11="U",$F$7=17),(Grundtoleranzen!T55),IF(AND($F$11="U",$F$7=18),(Grundtoleranzen!T55),"Error"))))))))))))))))))</f>
        <v>#REF!</v>
      </c>
      <c r="Y23" s="70" t="e">
        <f>IF(AND($F$11="X",$F$7=1),(Grundtoleranzen!U55),IF(AND($F$11="X",$F$7=2),(Grundtoleranzen!U55),IF(AND($F$11="X",$F$7=3),(Grundtoleranzen!U55)+Grundtoleranzen!$Z55,IF(AND($F$11="X",$F$7=4),(Grundtoleranzen!U55)+Grundtoleranzen!$AA55,IF(AND($F$11="X",$F$7=5),(Grundtoleranzen!U55)+Grundtoleranzen!$AB55,IF(AND($F$11="X",$F$7=6),(Grundtoleranzen!U55)+Grundtoleranzen!$AC55,IF(AND($F$11="X",$F$7=7),(Grundtoleranzen!U55)+Grundtoleranzen!$AD55,IF(AND($F$11="X",$F$7=8),(Grundtoleranzen!U55)+Grundtoleranzen!$AE55,IF(AND($F$11="X",$F$7=9),(Grundtoleranzen!U55),IF(AND($F$11="X",$F$7=10),(Grundtoleranzen!U55),IF(AND($F$11="X",$F$7=11),(Grundtoleranzen!U55),IF(AND($F$11="X",$F$7=12),(Grundtoleranzen!U55),IF(AND($F$11="X",$F$7=13),(Grundtoleranzen!U55),IF(AND($F$11="X",$F$7=14),(Grundtoleranzen!U55),IF(AND($F$11="X",$F$7=15),(Grundtoleranzen!U55),IF(AND($F$11="X",$F$7=16),(Grundtoleranzen!U55),IF(AND($F$11="X",$F$7=17),(Grundtoleranzen!U55),IF(AND($F$11="X",$F$7=18),(Grundtoleranzen!U55),"Error"))))))))))))))))))</f>
        <v>#REF!</v>
      </c>
      <c r="Z23" s="70" t="e">
        <f>IF(AND($F$11="Z",$F$7=1),(Grundtoleranzen!V55),IF(AND($F$11="Z",$F$7=2),(Grundtoleranzen!V55),IF(AND($F$11="Z",$F$7=3),(Grundtoleranzen!V55)+Grundtoleranzen!$Z55,IF(AND($F$11="Z",$F$7=4),(Grundtoleranzen!V55)+Grundtoleranzen!$AA55,IF(AND($F$11="Z",$F$7=5),(Grundtoleranzen!V55)+Grundtoleranzen!$AB55,IF(AND($F$11="Z",$F$7=6),(Grundtoleranzen!V55)+Grundtoleranzen!$AC55,IF(AND($F$11="Z",$F$7=7),(Grundtoleranzen!V55)+Grundtoleranzen!$AD55,IF(AND($F$11="Z",$F$7=8),(Grundtoleranzen!V55),IF(AND($F$11="Z",$F$7=9),(Grundtoleranzen!V55),IF(AND($F$11="Z",$F$7=10),(Grundtoleranzen!V55),IF(AND($F$11="Z",$F$7=11),(Grundtoleranzen!V55),IF(AND($F$11="Z",$F$7=12),(Grundtoleranzen!V55),IF(AND($F$11="Z",$F$7=13),(Grundtoleranzen!V55),IF(AND($F$11="Z",$F$7=14),(Grundtoleranzen!V55),IF(AND($F$11="Z",$F$7=15),(Grundtoleranzen!V55),IF(AND($F$11="Z",$F$7=16),(Grundtoleranzen!V55),IF(AND($F$11="Z",$F$7=17),(Grundtoleranzen!V55),IF(AND($F$11="Z",$F$7=18),(Grundtoleranzen!V55),"Error"))))))))))))))))))</f>
        <v>#REF!</v>
      </c>
      <c r="AA23" s="70" t="e">
        <f>IF(AND($F$11="ZA",$F$7=1),(Grundtoleranzen!W55),IF(AND($F$11="ZA",$F$7=2),(Grundtoleranzen!W55),IF(AND($F$11="ZA",$F$7=3),(Grundtoleranzen!W55)+Grundtoleranzen!$Z55,IF(AND($F$11="ZA",$F$7=4),(Grundtoleranzen!W55)+Grundtoleranzen!$AA55,IF(AND($F$11="ZA",$F$7=5),(Grundtoleranzen!W55)+Grundtoleranzen!$AB55,IF(AND($F$11="ZA",$F$7=6),(Grundtoleranzen!W55)+Grundtoleranzen!$AC55,IF(AND($F$11="ZA",$F$7=7),(Grundtoleranzen!W55)+Grundtoleranzen!$AD55,IF(AND($F$11="ZA",$F$7=8),(Grundtoleranzen!W55),IF(AND($F$11="ZA",$F$7=9),(Grundtoleranzen!W55),IF(AND($F$11="ZA",$F$7=10),(Grundtoleranzen!W55),IF(AND($F$11="ZA",$F$7=11),(Grundtoleranzen!W55),IF(AND($F$11="ZA",$F$7=12),(Grundtoleranzen!W55),IF(AND($F$11="ZA",$F$7=13),(Grundtoleranzen!W55),IF(AND($F$11="ZA",$F$7=14),(Grundtoleranzen!W55),IF(AND($F$11="ZA",$F$7=15),(Grundtoleranzen!W55),IF(AND($F$11="ZA",$F$7=16),(Grundtoleranzen!W55),IF(AND($F$11="ZA",$F$7=17),(Grundtoleranzen!W55),IF(AND($F$11="ZA",$F$7=18),(Grundtoleranzen!W55),"Error"))))))))))))))))))</f>
        <v>#REF!</v>
      </c>
      <c r="AB23" s="70" t="e">
        <f>IF(AND($F$11="ZB",$F$7=1),(Grundtoleranzen!X55),IF(AND($F$11="ZB",$F$7=2),(Grundtoleranzen!X55),IF(AND($F$11="ZB",$F$7=3),(Grundtoleranzen!X55)+Grundtoleranzen!$Z55,IF(AND($F$11="ZB",$F$7=4),(Grundtoleranzen!X55)+Grundtoleranzen!$AA55,IF(AND($F$11="ZB",$F$7=5),(Grundtoleranzen!X55)+Grundtoleranzen!$AB55,IF(AND($F$11="ZB",$F$7=6),(Grundtoleranzen!X55)+Grundtoleranzen!$AC55,IF(AND($F$11="ZB",$F$7=7),(Grundtoleranzen!X55)+Grundtoleranzen!$AD55,IF(AND($F$11="ZB",$F$7=8),(Grundtoleranzen!X55),IF(AND($F$11="ZB",$F$7=9),(Grundtoleranzen!X55),IF(AND($F$11="ZB",$F$7=10),(Grundtoleranzen!X55),IF(AND($F$11="ZB",$F$7=11),(Grundtoleranzen!X55),IF(AND($F$11="ZB",$F$7=12),(Grundtoleranzen!X55),IF(AND($F$11="ZB",$F$7=13),(Grundtoleranzen!X55),IF(AND($F$11="ZB",$F$7=14),(Grundtoleranzen!X55),IF(AND($F$11="ZB",$F$7=15),(Grundtoleranzen!X55),IF(AND($F$11="ZB",$F$7=16),(Grundtoleranzen!X55),IF(AND($F$11="ZB",$F$7=17),(Grundtoleranzen!X55),IF(AND($F$11="ZB",$F$7=18),(Grundtoleranzen!X55),"Error"))))))))))))))))))</f>
        <v>#REF!</v>
      </c>
      <c r="AC23" s="70" t="e">
        <f>IF(AND($F$11="ZC",$F$7=1),(Grundtoleranzen!Y55),IF(AND($F$11="ZC",$F$7=2),(Grundtoleranzen!Y55),IF(AND($F$11="ZC",$F$7=3),(Grundtoleranzen!Y55)+Grundtoleranzen!$Z55,IF(AND($F$11="ZC",$F$7=4),(Grundtoleranzen!Y55)+Grundtoleranzen!$AA55,IF(AND($F$11="ZC",$F$7=5),(Grundtoleranzen!Y55)+Grundtoleranzen!$AB55,IF(AND($F$11="ZC",$F$7=6),(Grundtoleranzen!Y55)+Grundtoleranzen!$AC55,IF(AND($F$11="ZC",$F$7=7),(Grundtoleranzen!Y55)+Grundtoleranzen!$AD55,IF(AND($F$11="ZC",$F$7=8),(Grundtoleranzen!Y55),IF(AND($F$11="ZC",$F$7=9),(Grundtoleranzen!Y55),IF(AND($F$11="ZC",$F$7=10),(Grundtoleranzen!Y55),IF(AND($F$11="ZC",$F$7=11),(Grundtoleranzen!Y55),IF(AND($F$11="ZC",$F$7=12),(Grundtoleranzen!Y55),IF(AND($F$11="ZC",$F$7=13),(Grundtoleranzen!Y55),IF(AND($F$11="ZC",$F$7=14),(Grundtoleranzen!Y55),IF(AND($F$11="ZC",$F$7=15),(Grundtoleranzen!Y55),IF(AND($F$11="ZC",$F$7=16),(Grundtoleranzen!Y55),IF(AND($F$11="ZC",$F$7=17),(Grundtoleranzen!Y55),IF(AND($F$11="ZC",$F$7=18),(Grundtoleranzen!Y55),"Error"))))))))))))))))))</f>
        <v>#REF!</v>
      </c>
    </row>
    <row r="24" spans="1:29" x14ac:dyDescent="0.25">
      <c r="H24" s="25" t="s">
        <v>89</v>
      </c>
      <c r="I24" s="38" t="e">
        <f>IF(AND(F$7=1),Grundtoleranzen!B25,IF(AND(F$7=2),Grundtoleranzen!C25,IF(AND(F$7=3),Grundtoleranzen!D25,IF(AND(F$7=4),Grundtoleranzen!E25,IF(AND(F$7=5),Grundtoleranzen!F25,IF(AND(F$7=6),Grundtoleranzen!G25,IF(AND(F$7=7),Grundtoleranzen!H25,IF(AND(F$7=8),Grundtoleranzen!I25,IF(AND(F$7=9),Grundtoleranzen!J25,IF(AND(F$7=10),Grundtoleranzen!K25,IF(AND(F$7=11),Grundtoleranzen!L25,IF(AND(F$7=12),Grundtoleranzen!M25,IF(AND(F$7=13),Grundtoleranzen!N25,IF(AND(F$7=14),Grundtoleranzen!O25,IF(AND(F$7=15),Grundtoleranzen!P25,IF(AND(F$7=16),Grundtoleranzen!Q25,IF(AND(F$7=17),Grundtoleranzen!R25,IF(AND(F$7=18),Grundtoleranzen!S25))))))))))))))))))</f>
        <v>#REF!</v>
      </c>
      <c r="K24" s="24" t="s">
        <v>146</v>
      </c>
      <c r="L24" s="68" t="e">
        <f>IF(AND(F$11="C"),Grundtoleranzen!B56,IF(AND(F$11="D"),Grundtoleranzen!C56,IF(AND(F$11="E"),Grundtoleranzen!D56,IF(AND(F$11="F"),Grundtoleranzen!E56,IF(AND(F$11="G"),Grundtoleranzen!F56,IF(AND(F$11="H"),Grundtoleranzen!G56))))))</f>
        <v>#REF!</v>
      </c>
      <c r="M24" s="25" t="s">
        <v>89</v>
      </c>
      <c r="N24" s="70" t="e">
        <f>IF(AND(F$11="JS",F$7=1),(Grundtoleranzen!B25)/2,IF(AND(F$11="JS",F$7=2),(Grundtoleranzen!C25)/2,IF(AND(F$11="JS",F$7=3),(Grundtoleranzen!D25)/2,IF(AND(F$11="JS",F$7=4),(Grundtoleranzen!E25)/2,IF(AND(F$11="JS",F$7=5),(Grundtoleranzen!F25)/2,IF(AND(F$11="JS",F$7=6),(Grundtoleranzen!G25)/2,IF(AND(F$11="JS",F$7=7),(Grundtoleranzen!H25)/2,IF(AND(F$11="JS",F$7=8),(Grundtoleranzen!I25)/2,IF(AND(F$11="JS",F$7=9),(Grundtoleranzen!J25)/2,IF(AND(F$11="JS",F$7=10),(Grundtoleranzen!K25)/2,IF(AND(F$11="JS",F$7=11),(Grundtoleranzen!L25)/2,IF(AND(F$11="JS",F$7=12),(Grundtoleranzen!M25)/2,IF(AND(F$11="JS",F$7=13),(Grundtoleranzen!N25)/2,IF(AND(F$11="JS",F$7=14),(Grundtoleranzen!O25)/2,IF(AND(F$11="JS",F$7=15),(Grundtoleranzen!P25)/2,IF(AND(F$11="JS",F$7=16),(Grundtoleranzen!Q25)/2,IF(AND(F$11="JS",F$7=17),(Grundtoleranzen!R25)/2,IF(AND(F$11="JS",F$7=18),(Grundtoleranzen!S25)/2))))))))))))))))))*-1</f>
        <v>#REF!</v>
      </c>
      <c r="P24" s="70" t="e">
        <f>IF(AND(F$11="J",F$7=6),(Grundtoleranzen!I56),IF(AND(F$11="J",F$7=7),(Grundtoleranzen!J56),IF(AND(F$11="J",F$7=8),(Grundtoleranzen!K56),"Nur IT6-8")))</f>
        <v>#REF!</v>
      </c>
      <c r="Q24" s="83" t="e">
        <f>IF(AND($F$11="K",$F$7=1),(Grundtoleranzen!L56),IF(AND($F$11="K",$F$7=2),(Grundtoleranzen!L56),IF(AND($F$11="K",$F$7=3),(Grundtoleranzen!L56)+Grundtoleranzen!Z56,IF(AND($F$11="K",$F$7=4),(Grundtoleranzen!L56)+Grundtoleranzen!AA56,IF(AND($F$11="K",$F$7=5),(Grundtoleranzen!L56)+Grundtoleranzen!AB56,IF(AND($F$11="K",$F$7=6),(Grundtoleranzen!L56)+Grundtoleranzen!AC56,IF(AND($F$11="K",$F$7=7),(Grundtoleranzen!L56)+Grundtoleranzen!AD56,IF(AND($F$11="K",$F$7=8),(Grundtoleranzen!L56)+Grundtoleranzen!AE56,"Nur IT 1 - 8"))))))))</f>
        <v>#REF!</v>
      </c>
      <c r="R24" s="70" t="e">
        <f>IF(AND($F$11="M",$F$7=1),(Grundtoleranzen!M56),IF(AND($F$11="M",$F$7=2),(Grundtoleranzen!M56),IF(AND($F$11="M",$F$7=3),(Grundtoleranzen!M56)+Grundtoleranzen!$Z56,IF(AND($F$11="M",$F$7=4),(Grundtoleranzen!M56)+Grundtoleranzen!$AA56,IF(AND($F$11="M",$F$7=5),(Grundtoleranzen!M56)+Grundtoleranzen!$AB56,IF(AND($F$11="M",$F$7=6),(Grundtoleranzen!M56)+Grundtoleranzen!$AC56,IF(AND($F$11="M",$F$7=7),(Grundtoleranzen!M56)+Grundtoleranzen!$AD56,IF(AND($F$11="M",$F$7=8),(Grundtoleranzen!M56)+Grundtoleranzen!$AE56,IF(AND($F$11="M",$F$7=9),(Grundtoleranzen!M56),IF(AND($F$11="M",$F$7=10),(Grundtoleranzen!M56),IF(AND($F$11="M",$F$7=11),(Grundtoleranzen!M56),IF(AND($F$11="M",$F$7=12),(Grundtoleranzen!M56),IF(AND($F$11="M",$F$7=13),(Grundtoleranzen!M56),IF(AND($F$11="M",$F$7=14),(Grundtoleranzen!M56),IF(AND($F$11="M",$F$7=15),(Grundtoleranzen!M56),IF(AND($F$11="M",$F$7=16),(Grundtoleranzen!M56),IF(AND($F$11="M",$F$7=17),(Grundtoleranzen!M56),IF(AND($F$11="M",$F$7=18),(Grundtoleranzen!M56),"Error"))))))))))))))))))</f>
        <v>#REF!</v>
      </c>
      <c r="S24" s="70" t="e">
        <f>IF(AND($F$11="N",$F$7=1),(Grundtoleranzen!N56),IF(AND($F$11="N",$F$7=2),(Grundtoleranzen!N56),IF(AND($F$11="N",$F$7=3),(Grundtoleranzen!N56)+Grundtoleranzen!$Z56,IF(AND($F$11="N",$F$7=4),(Grundtoleranzen!N56)+Grundtoleranzen!$AA56,IF(AND($F$11="N",$F$7=5),(Grundtoleranzen!N56)+Grundtoleranzen!$AB56,IF(AND($F$11="N",$F$7=6),(Grundtoleranzen!N56)+Grundtoleranzen!$AC56,IF(AND($F$11="N",$F$7=7),(Grundtoleranzen!N56)+Grundtoleranzen!$AD56,IF(AND($F$11="N",$F$7=8),(Grundtoleranzen!N56)+Grundtoleranzen!$AE56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#REF!</v>
      </c>
      <c r="T24" s="70" t="e">
        <f>IF(AND($F$11="P",$F$7=1),(Grundtoleranzen!P56),IF(AND($F$11="P",$F$7=2),(Grundtoleranzen!P56),IF(AND($F$11="P",$F$7=3),(Grundtoleranzen!P56)+Grundtoleranzen!$Z56,IF(AND($F$11="P",$F$7=4),(Grundtoleranzen!P56)+Grundtoleranzen!$AA56,IF(AND($F$11="P",$F$7=5),(Grundtoleranzen!P56)+Grundtoleranzen!$AB56,IF(AND($F$11="P",$F$7=6),(Grundtoleranzen!P56)+Grundtoleranzen!$AC56,IF(AND($F$11="P",$F$7=7),(Grundtoleranzen!P56)+Grundtoleranzen!$AD56,IF(AND($F$11="P",$F$7=8),(Grundtoleranzen!P56),IF(AND($F$11="P",$F$7=9),(Grundtoleranzen!P56),IF(AND($F$11="P",$F$7=10),(Grundtoleranzen!P56),IF(AND($F$11="P",$F$7=11),(Grundtoleranzen!P56),IF(AND($F$11="P",$F$7=12),(Grundtoleranzen!P56),IF(AND($F$11="P",$F$7=13),(Grundtoleranzen!P56),IF(AND($F$11="P",$F$7=14),(Grundtoleranzen!P56),IF(AND($F$11="P",$F$7=15),(Grundtoleranzen!P56),IF(AND($F$11="P",$F$7=16),(Grundtoleranzen!P56),IF(AND($F$11="P",$F$7=17),(Grundtoleranzen!P56),IF(AND($F$11="P",$F$7=18),(Grundtoleranzen!P56),"Error"))))))))))))))))))</f>
        <v>#REF!</v>
      </c>
      <c r="U24" s="70" t="e">
        <f>IF(AND($F$11="R",$F$7=1),(Grundtoleranzen!Q56),IF(AND($F$11="R",$F$7=2),(Grundtoleranzen!Q56),IF(AND($F$11="R",$F$7=3),(Grundtoleranzen!Q56)+Grundtoleranzen!$Z56,IF(AND($F$11="R",$F$7=4),(Grundtoleranzen!Q56)+Grundtoleranzen!$AA56,IF(AND($F$11="R",$F$7=5),(Grundtoleranzen!Q56)+Grundtoleranzen!$AB56,IF(AND($F$11="R",$F$7=6),(Grundtoleranzen!Q56)+Grundtoleranzen!$AC56,IF(AND($F$11="R",$F$7=7),(Grundtoleranzen!Q56)+Grundtoleranzen!$AD56,IF(AND($F$11="R",$F$7=8),(Grundtoleranzen!Q56)+Grundtoleranzen!$AE56,IF(AND($F$11="R",$F$7=9),(Grundtoleranzen!Q56),IF(AND($F$11="R",$F$7=10),(Grundtoleranzen!Q56),IF(AND($F$11="R",$F$7=11),(Grundtoleranzen!Q56),IF(AND($F$11="R",$F$7=12),(Grundtoleranzen!Q56),IF(AND($F$11="R",$F$7=13),(Grundtoleranzen!Q56),IF(AND($F$11="R",$F$7=14),(Grundtoleranzen!Q56),IF(AND($F$11="R",$F$7=15),(Grundtoleranzen!Q56),IF(AND($F$11="R",$F$7=16),(Grundtoleranzen!Q56),IF(AND($F$11="R",$F$7=17),(Grundtoleranzen!Q56),IF(AND($F$11="R",$F$7=18),(Grundtoleranzen!Q56),"Error"))))))))))))))))))</f>
        <v>#REF!</v>
      </c>
      <c r="V24" s="70" t="e">
        <f>IF(AND($F$11="S",$F$7=1),Grundtoleranzen!R56,IF(AND($F$11="S",$F$7=2),(Grundtoleranzen!R56),IF(AND($F$11="S",$F$7=3),(Grundtoleranzen!R56)+Grundtoleranzen!$Z56,IF(AND($F$11="S",$F$7=4),(Grundtoleranzen!R56)+Grundtoleranzen!$AA56,IF(AND($F$11="S",$F$7=5),(Grundtoleranzen!R56)+Grundtoleranzen!$AB56,IF(AND($F$11="S",$F$7=6),(Grundtoleranzen!R56)+Grundtoleranzen!$AC56,IF(AND($F$11="S",$F$7=7),(Grundtoleranzen!R56)+Grundtoleranzen!$AD56,IF(AND($F$11="S",$F$7=8),(Grundtoleranzen!R56),IF(AND($F$11="S",$F$7=9),(Grundtoleranzen!R56),IF(AND($F$11="S",$F$7=10),(Grundtoleranzen!R56),IF(AND($F$11="S",$F$7=11),(Grundtoleranzen!R56),IF(AND($F$11="S",$F$7=12),(Grundtoleranzen!R56),IF(AND($F$11="S",$F$7=13),(Grundtoleranzen!R56),IF(AND($F$11="S",$F$7=14),(Grundtoleranzen!R56),IF(AND($F$11="S",$F$7=15),(Grundtoleranzen!R56),IF(AND($F$11="S",$F$7=16),(Grundtoleranzen!R56),IF(AND($F$11="S",$F$7=17),(Grundtoleranzen!R56),IF(AND($F$11="S",$F$7=18),(Grundtoleranzen!R56),"Error"))))))))))))))))))</f>
        <v>#REF!</v>
      </c>
      <c r="W24" s="70" t="e">
        <f>IF(AND($F$11="T",$F$7=1),(Grundtoleranzen!S56),IF(AND($F$11="T",$F$7=2),(Grundtoleranzen!S56),IF(AND($F$11="T",$F$7=3),(Grundtoleranzen!S56)+Grundtoleranzen!$Z56,IF(AND($F$11="T",$F$7=4),(Grundtoleranzen!S56)+Grundtoleranzen!$AA56,IF(AND($F$11="T",$F$7=5),(Grundtoleranzen!S56)+Grundtoleranzen!$AB56,IF(AND($F$11="T",$F$7=6),(Grundtoleranzen!S56)+Grundtoleranzen!$AC56,IF(AND($F$11="T",$F$7=7),(Grundtoleranzen!S56)+Grundtoleranzen!$AD56,IF(AND($F$11="T",$F$7=8),(Grundtoleranzen!S56),IF(AND($F$11="T",$F$7=9),(Grundtoleranzen!S56),IF(AND($F$11="T",$F$7=10),(Grundtoleranzen!S56),IF(AND($F$11="T",$F$7=11),(Grundtoleranzen!S56),IF(AND($F$11="T",$F$7=12),(Grundtoleranzen!S56),IF(AND($F$11="T",$F$7=13),(Grundtoleranzen!S56),IF(AND($F$11="T",$F$7=14),(Grundtoleranzen!S56),IF(AND($F$11="T",$F$7=15),(Grundtoleranzen!S56),IF(AND($F$11="T",$F$7=16),(Grundtoleranzen!S56),IF(AND($F$11="T",$F$7=17),(Grundtoleranzen!S56),IF(AND($F$11="T",$F$7=18),(Grundtoleranzen!S56),"Error"))))))))))))))))))</f>
        <v>#REF!</v>
      </c>
      <c r="X24" s="70" t="e">
        <f>IF(AND($F$11="U",$F$7=1),(Grundtoleranzen!T56),IF(AND($F$11="U",$F$7=2),(Grundtoleranzen!T56),IF(AND($F$11="U",$F$7=3),(Grundtoleranzen!T56)+Grundtoleranzen!$Z56,IF(AND($F$11="U",$F$7=4),(Grundtoleranzen!T56)+Grundtoleranzen!$AA56,IF(AND($F$11="U",$F$7=5),(Grundtoleranzen!T56)+Grundtoleranzen!$AB56,IF(AND($F$11="U",$F$7=6),(Grundtoleranzen!T56)+Grundtoleranzen!$AC56,IF(AND($F$11="U",$F$7=7),(Grundtoleranzen!T56)+Grundtoleranzen!$AD56,IF(AND($F$11="U",$F$7=8),(Grundtoleranzen!T56),IF(AND($F$11="U",$F$7=9),(Grundtoleranzen!T56),IF(AND($F$11="U",$F$7=10),(Grundtoleranzen!T56),IF(AND($F$11="U",$F$7=11),(Grundtoleranzen!T56),IF(AND($F$11="U",$F$7=12),(Grundtoleranzen!T56),IF(AND($F$11="U",$F$7=13),(Grundtoleranzen!T56),IF(AND($F$11="U",$F$7=14),(Grundtoleranzen!T56),IF(AND($F$11="U",$F$7=15),(Grundtoleranzen!T56),IF(AND($F$11="U",$F$7=16),(Grundtoleranzen!T56),IF(AND($F$11="U",$F$7=17),(Grundtoleranzen!T56),IF(AND($F$11="U",$F$7=18),(Grundtoleranzen!T56),"Error"))))))))))))))))))</f>
        <v>#REF!</v>
      </c>
      <c r="Y24" s="70" t="e">
        <f>IF(AND($F$11="X",$F$7=1),(Grundtoleranzen!U56),IF(AND($F$11="X",$F$7=2),(Grundtoleranzen!U56),IF(AND($F$11="X",$F$7=3),(Grundtoleranzen!U56)+Grundtoleranzen!$Z56,IF(AND($F$11="X",$F$7=4),(Grundtoleranzen!U56)+Grundtoleranzen!$AA56,IF(AND($F$11="X",$F$7=5),(Grundtoleranzen!U56)+Grundtoleranzen!$AB56,IF(AND($F$11="X",$F$7=6),(Grundtoleranzen!U56)+Grundtoleranzen!$AC56,IF(AND($F$11="X",$F$7=7),(Grundtoleranzen!U56)+Grundtoleranzen!$AD56,IF(AND($F$11="X",$F$7=8),(Grundtoleranzen!U56)+Grundtoleranzen!$AE56,IF(AND($F$11="X",$F$7=9),(Grundtoleranzen!U56),IF(AND($F$11="X",$F$7=10),(Grundtoleranzen!U56),IF(AND($F$11="X",$F$7=11),(Grundtoleranzen!U56),IF(AND($F$11="X",$F$7=12),(Grundtoleranzen!U56),IF(AND($F$11="X",$F$7=13),(Grundtoleranzen!U56),IF(AND($F$11="X",$F$7=14),(Grundtoleranzen!U56),IF(AND($F$11="X",$F$7=15),(Grundtoleranzen!U56),IF(AND($F$11="X",$F$7=16),(Grundtoleranzen!U56),IF(AND($F$11="X",$F$7=17),(Grundtoleranzen!U56),IF(AND($F$11="X",$F$7=18),(Grundtoleranzen!U56),"Error"))))))))))))))))))</f>
        <v>#REF!</v>
      </c>
      <c r="Z24" s="70" t="e">
        <f>IF(AND($F$11="Z",$F$7=1),(Grundtoleranzen!V56),IF(AND($F$11="Z",$F$7=2),(Grundtoleranzen!V56),IF(AND($F$11="Z",$F$7=3),(Grundtoleranzen!V56)+Grundtoleranzen!$Z56,IF(AND($F$11="Z",$F$7=4),(Grundtoleranzen!V56)+Grundtoleranzen!$AA56,IF(AND($F$11="Z",$F$7=5),(Grundtoleranzen!V56)+Grundtoleranzen!$AB56,IF(AND($F$11="Z",$F$7=6),(Grundtoleranzen!V56)+Grundtoleranzen!$AC56,IF(AND($F$11="Z",$F$7=7),(Grundtoleranzen!V56)+Grundtoleranzen!$AD56,IF(AND($F$11="Z",$F$7=8),(Grundtoleranzen!V56),IF(AND($F$11="Z",$F$7=9),(Grundtoleranzen!V56),IF(AND($F$11="Z",$F$7=10),(Grundtoleranzen!V56),IF(AND($F$11="Z",$F$7=11),(Grundtoleranzen!V56),IF(AND($F$11="Z",$F$7=12),(Grundtoleranzen!V56),IF(AND($F$11="Z",$F$7=13),(Grundtoleranzen!V56),IF(AND($F$11="Z",$F$7=14),(Grundtoleranzen!V56),IF(AND($F$11="Z",$F$7=15),(Grundtoleranzen!V56),IF(AND($F$11="Z",$F$7=16),(Grundtoleranzen!V56),IF(AND($F$11="Z",$F$7=17),(Grundtoleranzen!V56),IF(AND($F$11="Z",$F$7=18),(Grundtoleranzen!V56),"Error"))))))))))))))))))</f>
        <v>#REF!</v>
      </c>
      <c r="AA24" s="70" t="e">
        <f>IF(AND($F$11="ZA",$F$7=1),(Grundtoleranzen!W56),IF(AND($F$11="ZA",$F$7=2),(Grundtoleranzen!W56),IF(AND($F$11="ZA",$F$7=3),(Grundtoleranzen!W56)+Grundtoleranzen!$Z56,IF(AND($F$11="ZA",$F$7=4),(Grundtoleranzen!W56)+Grundtoleranzen!$AA56,IF(AND($F$11="ZA",$F$7=5),(Grundtoleranzen!W56)+Grundtoleranzen!$AB56,IF(AND($F$11="ZA",$F$7=6),(Grundtoleranzen!W56)+Grundtoleranzen!$AC56,IF(AND($F$11="ZA",$F$7=7),(Grundtoleranzen!W56)+Grundtoleranzen!$AD56,IF(AND($F$11="ZA",$F$7=8),(Grundtoleranzen!W56),IF(AND($F$11="ZA",$F$7=9),(Grundtoleranzen!W56),IF(AND($F$11="ZA",$F$7=10),(Grundtoleranzen!W56),IF(AND($F$11="ZA",$F$7=11),(Grundtoleranzen!W56),IF(AND($F$11="ZA",$F$7=12),(Grundtoleranzen!W56),IF(AND($F$11="ZA",$F$7=13),(Grundtoleranzen!W56),IF(AND($F$11="ZA",$F$7=14),(Grundtoleranzen!W56),IF(AND($F$11="ZA",$F$7=15),(Grundtoleranzen!W56),IF(AND($F$11="ZA",$F$7=16),(Grundtoleranzen!W56),IF(AND($F$11="ZA",$F$7=17),(Grundtoleranzen!W56),IF(AND($F$11="ZA",$F$7=18),(Grundtoleranzen!W56),"Error"))))))))))))))))))</f>
        <v>#REF!</v>
      </c>
      <c r="AB24" s="70" t="e">
        <f>IF(AND($F$11="ZB",$F$7=1),(Grundtoleranzen!X56),IF(AND($F$11="ZB",$F$7=2),(Grundtoleranzen!X56),IF(AND($F$11="ZB",$F$7=3),(Grundtoleranzen!X56)+Grundtoleranzen!$Z56,IF(AND($F$11="ZB",$F$7=4),(Grundtoleranzen!X56)+Grundtoleranzen!$AA56,IF(AND($F$11="ZB",$F$7=5),(Grundtoleranzen!X56)+Grundtoleranzen!$AB56,IF(AND($F$11="ZB",$F$7=6),(Grundtoleranzen!X56)+Grundtoleranzen!$AC56,IF(AND($F$11="ZB",$F$7=7),(Grundtoleranzen!X56)+Grundtoleranzen!$AD56,IF(AND($F$11="ZB",$F$7=8),(Grundtoleranzen!X56),IF(AND($F$11="ZB",$F$7=9),(Grundtoleranzen!X56),IF(AND($F$11="ZB",$F$7=10),(Grundtoleranzen!X56),IF(AND($F$11="ZB",$F$7=11),(Grundtoleranzen!X56),IF(AND($F$11="ZB",$F$7=12),(Grundtoleranzen!X56),IF(AND($F$11="ZB",$F$7=13),(Grundtoleranzen!X56),IF(AND($F$11="ZB",$F$7=14),(Grundtoleranzen!X56),IF(AND($F$11="ZB",$F$7=15),(Grundtoleranzen!X56),IF(AND($F$11="ZB",$F$7=16),(Grundtoleranzen!X56),IF(AND($F$11="ZB",$F$7=17),(Grundtoleranzen!X56),IF(AND($F$11="ZB",$F$7=18),(Grundtoleranzen!X56),"Error"))))))))))))))))))</f>
        <v>#REF!</v>
      </c>
      <c r="AC24" s="70" t="e">
        <f>IF(AND($F$11="ZC",$F$7=1),(Grundtoleranzen!Y56),IF(AND($F$11="ZC",$F$7=2),(Grundtoleranzen!Y56),IF(AND($F$11="ZC",$F$7=3),(Grundtoleranzen!Y56)+Grundtoleranzen!$Z56,IF(AND($F$11="ZC",$F$7=4),(Grundtoleranzen!Y56)+Grundtoleranzen!$AA56,IF(AND($F$11="ZC",$F$7=5),(Grundtoleranzen!Y56)+Grundtoleranzen!$AB56,IF(AND($F$11="ZC",$F$7=6),(Grundtoleranzen!Y56)+Grundtoleranzen!$AC56,IF(AND($F$11="ZC",$F$7=7),(Grundtoleranzen!Y56)+Grundtoleranzen!$AD56,IF(AND($F$11="ZC",$F$7=8),(Grundtoleranzen!Y56),IF(AND($F$11="ZC",$F$7=9),(Grundtoleranzen!Y56),IF(AND($F$11="ZC",$F$7=10),(Grundtoleranzen!Y56),IF(AND($F$11="ZC",$F$7=11),(Grundtoleranzen!Y56),IF(AND($F$11="ZC",$F$7=12),(Grundtoleranzen!Y56),IF(AND($F$11="ZC",$F$7=13),(Grundtoleranzen!Y56),IF(AND($F$11="ZC",$F$7=14),(Grundtoleranzen!Y56),IF(AND($F$11="ZC",$F$7=15),(Grundtoleranzen!Y56),IF(AND($F$11="ZC",$F$7=16),(Grundtoleranzen!Y56),IF(AND($F$11="ZC",$F$7=17),(Grundtoleranzen!Y56),IF(AND($F$11="ZC",$F$7=18),(Grundtoleranzen!Y56),"Error"))))))))))))))))))</f>
        <v>#REF!</v>
      </c>
    </row>
    <row r="25" spans="1:29" ht="15.75" thickBot="1" x14ac:dyDescent="0.3">
      <c r="H25" s="26" t="s">
        <v>90</v>
      </c>
      <c r="I25" s="39" t="e">
        <f>IF(AND(F$7=1),Grundtoleranzen!B26,IF(AND(F$7=2),Grundtoleranzen!C26,IF(AND(F$7=3),Grundtoleranzen!D26,IF(AND(F$7=4),Grundtoleranzen!E26,IF(AND(F$7=5),Grundtoleranzen!F26,IF(AND(F$7=6),Grundtoleranzen!G26,IF(AND(F$7=7),Grundtoleranzen!H26,IF(AND(F$7=8),Grundtoleranzen!I26,IF(AND(F$7=9),Grundtoleranzen!J26,IF(AND(F$7=10),Grundtoleranzen!K26,IF(AND(F$7=11),Grundtoleranzen!L26,IF(AND(F$7=12),Grundtoleranzen!M26,IF(AND(F$7=13),Grundtoleranzen!N26,IF(AND(F$7=14),Grundtoleranzen!O26,IF(AND(F$7=15),Grundtoleranzen!P26,IF(AND(F$7=16),Grundtoleranzen!Q26,IF(AND(F$7=17),Grundtoleranzen!R26,IF(AND(F$7=18),Grundtoleranzen!S26))))))))))))))))))</f>
        <v>#REF!</v>
      </c>
      <c r="K25" s="24" t="s">
        <v>147</v>
      </c>
      <c r="L25" s="68" t="e">
        <f>IF(AND(F$11="C"),Grundtoleranzen!B57,IF(AND(F$11="D"),Grundtoleranzen!C57,IF(AND(F$11="E"),Grundtoleranzen!D57,IF(AND(F$11="F"),Grundtoleranzen!E57,IF(AND(F$11="G"),Grundtoleranzen!F57,IF(AND(F$11="H"),Grundtoleranzen!G57))))))</f>
        <v>#REF!</v>
      </c>
      <c r="M25" s="26" t="s">
        <v>90</v>
      </c>
      <c r="N25" s="71" t="e">
        <f>IF(AND(F$11="JS",F$7=1),(Grundtoleranzen!B26)/2,IF(AND(F$11="JS",F$7=2),(Grundtoleranzen!C26)/2,IF(AND(F$11="JS",F$7=3),(Grundtoleranzen!D26)/2,IF(AND(F$11="JS",F$7=4),(Grundtoleranzen!E26)/2,IF(AND(F$11="JS",F$7=5),(Grundtoleranzen!F26)/2,IF(AND(F$11="JS",F$7=6),(Grundtoleranzen!G26)/2,IF(AND(F$11="JS",F$7=7),(Grundtoleranzen!H26)/2,IF(AND(F$11="JS",F$7=8),(Grundtoleranzen!I26)/2,IF(AND(F$11="JS",F$7=9),(Grundtoleranzen!J26)/2,IF(AND(F$11="JS",F$7=10),(Grundtoleranzen!K26)/2,IF(AND(F$11="JS",F$7=11),(Grundtoleranzen!L26)/2,IF(AND(F$11="JS",F$7=12),(Grundtoleranzen!M26)/2,IF(AND(F$11="JS",F$7=13),(Grundtoleranzen!N26)/2,IF(AND(F$11="JS",F$7=14),(Grundtoleranzen!O26)/2,IF(AND(F$11="JS",F$7=15),(Grundtoleranzen!P26)/2,IF(AND(F$11="JS",F$7=16),(Grundtoleranzen!Q26)/2,IF(AND(F$11="JS",F$7=17),(Grundtoleranzen!R26)/2,IF(AND(F$11="JS",F$7=18),(Grundtoleranzen!S26)/2))))))))))))))))))*-1</f>
        <v>#REF!</v>
      </c>
      <c r="P25" s="70" t="e">
        <f>IF(AND(F$11="J",F$7=6),(Grundtoleranzen!I57),IF(AND(F$11="J",F$7=7),(Grundtoleranzen!J57),IF(AND(F$11="J",F$7=8),(Grundtoleranzen!K57),"Nur IT6-8")))</f>
        <v>#REF!</v>
      </c>
      <c r="Q25" s="83" t="e">
        <f>IF(AND($F$11="K",$F$7=1),(Grundtoleranzen!L57),IF(AND($F$11="K",$F$7=2),(Grundtoleranzen!L57),IF(AND($F$11="K",$F$7=3),(Grundtoleranzen!L57)+Grundtoleranzen!Z57,IF(AND($F$11="K",$F$7=4),(Grundtoleranzen!L57)+Grundtoleranzen!AA57,IF(AND($F$11="K",$F$7=5),(Grundtoleranzen!L57)+Grundtoleranzen!AB57,IF(AND($F$11="K",$F$7=6),(Grundtoleranzen!L57)+Grundtoleranzen!AC57,IF(AND($F$11="K",$F$7=7),(Grundtoleranzen!L57)+Grundtoleranzen!AD57,IF(AND($F$11="K",$F$7=8),(Grundtoleranzen!L57)+Grundtoleranzen!AE57,"Nur IT 1 - 8"))))))))</f>
        <v>#REF!</v>
      </c>
      <c r="R25" s="70" t="e">
        <f>IF(AND($F$11="M",$F$7=1),(Grundtoleranzen!M57),IF(AND($F$11="M",$F$7=2),(Grundtoleranzen!M57),IF(AND($F$11="M",$F$7=3),(Grundtoleranzen!M57)+Grundtoleranzen!$Z57,IF(AND($F$11="M",$F$7=4),(Grundtoleranzen!M57)+Grundtoleranzen!$AA57,IF(AND($F$11="M",$F$7=5),(Grundtoleranzen!M57)+Grundtoleranzen!$AB57,IF(AND($F$11="M",$F$7=6),(Grundtoleranzen!M57)+Grundtoleranzen!$AC57,IF(AND($F$11="M",$F$7=7),(Grundtoleranzen!M57)+Grundtoleranzen!$AD57,IF(AND($F$11="M",$F$7=8),(Grundtoleranzen!M57)+Grundtoleranzen!$AE57,IF(AND($F$11="M",$F$7=9),(Grundtoleranzen!M57),IF(AND($F$11="M",$F$7=10),(Grundtoleranzen!M57),IF(AND($F$11="M",$F$7=11),(Grundtoleranzen!M57),IF(AND($F$11="M",$F$7=12),(Grundtoleranzen!M57),IF(AND($F$11="M",$F$7=13),(Grundtoleranzen!M57),IF(AND($F$11="M",$F$7=14),(Grundtoleranzen!M57),IF(AND($F$11="M",$F$7=15),(Grundtoleranzen!M57),IF(AND($F$11="M",$F$7=16),(Grundtoleranzen!M57),IF(AND($F$11="M",$F$7=17),(Grundtoleranzen!M57),IF(AND($F$11="M",$F$7=18),(Grundtoleranzen!M57),"Error"))))))))))))))))))</f>
        <v>#REF!</v>
      </c>
      <c r="S25" s="70" t="e">
        <f>IF(AND($F$11="N",$F$7=1),(Grundtoleranzen!N57),IF(AND($F$11="N",$F$7=2),(Grundtoleranzen!N57),IF(AND($F$11="N",$F$7=3),(Grundtoleranzen!N57)+Grundtoleranzen!$Z57,IF(AND($F$11="N",$F$7=4),(Grundtoleranzen!N57)+Grundtoleranzen!$AA57,IF(AND($F$11="N",$F$7=5),(Grundtoleranzen!N57)+Grundtoleranzen!$AB57,IF(AND($F$11="N",$F$7=6),(Grundtoleranzen!N57)+Grundtoleranzen!$AC57,IF(AND($F$11="N",$F$7=7),(Grundtoleranzen!N57)+Grundtoleranzen!$AD57,IF(AND($F$11="N",$F$7=8),(Grundtoleranzen!N57)+Grundtoleranzen!$AE57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#REF!</v>
      </c>
      <c r="T25" s="70" t="e">
        <f>IF(AND($F$11="P",$F$7=1),(Grundtoleranzen!P57),IF(AND($F$11="P",$F$7=2),(Grundtoleranzen!P57),IF(AND($F$11="P",$F$7=3),(Grundtoleranzen!P57)+Grundtoleranzen!$Z57,IF(AND($F$11="P",$F$7=4),(Grundtoleranzen!P57)+Grundtoleranzen!$AA57,IF(AND($F$11="P",$F$7=5),(Grundtoleranzen!P57)+Grundtoleranzen!$AB57,IF(AND($F$11="P",$F$7=6),(Grundtoleranzen!P57)+Grundtoleranzen!$AC57,IF(AND($F$11="P",$F$7=7),(Grundtoleranzen!P57)+Grundtoleranzen!$AD57,IF(AND($F$11="P",$F$7=8),(Grundtoleranzen!P57),IF(AND($F$11="P",$F$7=9),(Grundtoleranzen!P57),IF(AND($F$11="P",$F$7=10),(Grundtoleranzen!P57),IF(AND($F$11="P",$F$7=11),(Grundtoleranzen!P57),IF(AND($F$11="P",$F$7=12),(Grundtoleranzen!P57),IF(AND($F$11="P",$F$7=13),(Grundtoleranzen!P57),IF(AND($F$11="P",$F$7=14),(Grundtoleranzen!P57),IF(AND($F$11="P",$F$7=15),(Grundtoleranzen!P57),IF(AND($F$11="P",$F$7=16),(Grundtoleranzen!P57),IF(AND($F$11="P",$F$7=17),(Grundtoleranzen!P57),IF(AND($F$11="P",$F$7=18),(Grundtoleranzen!P57),"Error"))))))))))))))))))</f>
        <v>#REF!</v>
      </c>
      <c r="U25" s="70" t="e">
        <f>IF(AND($F$11="R",$F$7=1),(Grundtoleranzen!Q57),IF(AND($F$11="R",$F$7=2),(Grundtoleranzen!Q57),IF(AND($F$11="R",$F$7=3),(Grundtoleranzen!Q57)+Grundtoleranzen!$Z57,IF(AND($F$11="R",$F$7=4),(Grundtoleranzen!Q57)+Grundtoleranzen!$AA57,IF(AND($F$11="R",$F$7=5),(Grundtoleranzen!Q57)+Grundtoleranzen!$AB57,IF(AND($F$11="R",$F$7=6),(Grundtoleranzen!Q57)+Grundtoleranzen!$AC57,IF(AND($F$11="R",$F$7=7),(Grundtoleranzen!Q57)+Grundtoleranzen!$AD57,IF(AND($F$11="R",$F$7=8),(Grundtoleranzen!Q57)+Grundtoleranzen!$AE57,IF(AND($F$11="R",$F$7=9),(Grundtoleranzen!Q57),IF(AND($F$11="R",$F$7=10),(Grundtoleranzen!Q57),IF(AND($F$11="R",$F$7=11),(Grundtoleranzen!Q57),IF(AND($F$11="R",$F$7=12),(Grundtoleranzen!Q57),IF(AND($F$11="R",$F$7=13),(Grundtoleranzen!Q57),IF(AND($F$11="R",$F$7=14),(Grundtoleranzen!Q57),IF(AND($F$11="R",$F$7=15),(Grundtoleranzen!Q57),IF(AND($F$11="R",$F$7=16),(Grundtoleranzen!Q57),IF(AND($F$11="R",$F$7=17),(Grundtoleranzen!Q57),IF(AND($F$11="R",$F$7=18),(Grundtoleranzen!Q57),"Error"))))))))))))))))))</f>
        <v>#REF!</v>
      </c>
      <c r="V25" s="70" t="e">
        <f>IF(AND($F$11="S",$F$7=1),Grundtoleranzen!R57,IF(AND($F$11="S",$F$7=2),(Grundtoleranzen!R57),IF(AND($F$11="S",$F$7=3),(Grundtoleranzen!R57)+Grundtoleranzen!$Z57,IF(AND($F$11="S",$F$7=4),(Grundtoleranzen!R57)+Grundtoleranzen!$AA57,IF(AND($F$11="S",$F$7=5),(Grundtoleranzen!R57)+Grundtoleranzen!$AB57,IF(AND($F$11="S",$F$7=6),(Grundtoleranzen!R57)+Grundtoleranzen!$AC57,IF(AND($F$11="S",$F$7=7),(Grundtoleranzen!R57)+Grundtoleranzen!$AD57,IF(AND($F$11="S",$F$7=8),(Grundtoleranzen!R57),IF(AND($F$11="S",$F$7=9),(Grundtoleranzen!R57),IF(AND($F$11="S",$F$7=10),(Grundtoleranzen!R57),IF(AND($F$11="S",$F$7=11),(Grundtoleranzen!R57),IF(AND($F$11="S",$F$7=12),(Grundtoleranzen!R57),IF(AND($F$11="S",$F$7=13),(Grundtoleranzen!R57),IF(AND($F$11="S",$F$7=14),(Grundtoleranzen!R57),IF(AND($F$11="S",$F$7=15),(Grundtoleranzen!R57),IF(AND($F$11="S",$F$7=16),(Grundtoleranzen!R57),IF(AND($F$11="S",$F$7=17),(Grundtoleranzen!R57),IF(AND($F$11="S",$F$7=18),(Grundtoleranzen!R57),"Error"))))))))))))))))))</f>
        <v>#REF!</v>
      </c>
      <c r="W25" s="70" t="e">
        <f>IF(AND($F$11="T",$F$7=1),(Grundtoleranzen!S57),IF(AND($F$11="T",$F$7=2),(Grundtoleranzen!S57),IF(AND($F$11="T",$F$7=3),(Grundtoleranzen!S57)+Grundtoleranzen!$Z57,IF(AND($F$11="T",$F$7=4),(Grundtoleranzen!S57)+Grundtoleranzen!$AA57,IF(AND($F$11="T",$F$7=5),(Grundtoleranzen!S57)+Grundtoleranzen!$AB57,IF(AND($F$11="T",$F$7=6),(Grundtoleranzen!S57)+Grundtoleranzen!$AC57,IF(AND($F$11="T",$F$7=7),(Grundtoleranzen!S57)+Grundtoleranzen!$AD57,IF(AND($F$11="T",$F$7=8),(Grundtoleranzen!S57),IF(AND($F$11="T",$F$7=9),(Grundtoleranzen!S57),IF(AND($F$11="T",$F$7=10),(Grundtoleranzen!S57),IF(AND($F$11="T",$F$7=11),(Grundtoleranzen!S57),IF(AND($F$11="T",$F$7=12),(Grundtoleranzen!S57),IF(AND($F$11="T",$F$7=13),(Grundtoleranzen!S57),IF(AND($F$11="T",$F$7=14),(Grundtoleranzen!S57),IF(AND($F$11="T",$F$7=15),(Grundtoleranzen!S57),IF(AND($F$11="T",$F$7=16),(Grundtoleranzen!S57),IF(AND($F$11="T",$F$7=17),(Grundtoleranzen!S57),IF(AND($F$11="T",$F$7=18),(Grundtoleranzen!S57),"Error"))))))))))))))))))</f>
        <v>#REF!</v>
      </c>
      <c r="X25" s="70" t="e">
        <f>IF(AND($F$11="U",$F$7=1),(Grundtoleranzen!T57),IF(AND($F$11="U",$F$7=2),(Grundtoleranzen!T57),IF(AND($F$11="U",$F$7=3),(Grundtoleranzen!T57)+Grundtoleranzen!$Z57,IF(AND($F$11="U",$F$7=4),(Grundtoleranzen!T57)+Grundtoleranzen!$AA57,IF(AND($F$11="U",$F$7=5),(Grundtoleranzen!T57)+Grundtoleranzen!$AB57,IF(AND($F$11="U",$F$7=6),(Grundtoleranzen!T57)+Grundtoleranzen!$AC57,IF(AND($F$11="U",$F$7=7),(Grundtoleranzen!T57)+Grundtoleranzen!$AD57,IF(AND($F$11="U",$F$7=8),(Grundtoleranzen!T57),IF(AND($F$11="U",$F$7=9),(Grundtoleranzen!T57),IF(AND($F$11="U",$F$7=10),(Grundtoleranzen!T57),IF(AND($F$11="U",$F$7=11),(Grundtoleranzen!T57),IF(AND($F$11="U",$F$7=12),(Grundtoleranzen!T57),IF(AND($F$11="U",$F$7=13),(Grundtoleranzen!T57),IF(AND($F$11="U",$F$7=14),(Grundtoleranzen!T57),IF(AND($F$11="U",$F$7=15),(Grundtoleranzen!T57),IF(AND($F$11="U",$F$7=16),(Grundtoleranzen!T57),IF(AND($F$11="U",$F$7=17),(Grundtoleranzen!T57),IF(AND($F$11="U",$F$7=18),(Grundtoleranzen!T57),"Error"))))))))))))))))))</f>
        <v>#REF!</v>
      </c>
      <c r="Y25" s="70" t="e">
        <f>IF(AND($F$11="X",$F$7=1),(Grundtoleranzen!U57),IF(AND($F$11="X",$F$7=2),(Grundtoleranzen!U57),IF(AND($F$11="X",$F$7=3),(Grundtoleranzen!U57)+Grundtoleranzen!$Z57,IF(AND($F$11="X",$F$7=4),(Grundtoleranzen!U57)+Grundtoleranzen!$AA57,IF(AND($F$11="X",$F$7=5),(Grundtoleranzen!U57)+Grundtoleranzen!$AB57,IF(AND($F$11="X",$F$7=6),(Grundtoleranzen!U57)+Grundtoleranzen!$AC57,IF(AND($F$11="X",$F$7=7),(Grundtoleranzen!U57)+Grundtoleranzen!$AD57,IF(AND($F$11="X",$F$7=8),(Grundtoleranzen!U57)+Grundtoleranzen!$AE57,IF(AND($F$11="X",$F$7=9),(Grundtoleranzen!U57),IF(AND($F$11="X",$F$7=10),(Grundtoleranzen!U57),IF(AND($F$11="X",$F$7=11),(Grundtoleranzen!U57),IF(AND($F$11="X",$F$7=12),(Grundtoleranzen!U57),IF(AND($F$11="X",$F$7=13),(Grundtoleranzen!U57),IF(AND($F$11="X",$F$7=14),(Grundtoleranzen!U57),IF(AND($F$11="X",$F$7=15),(Grundtoleranzen!U57),IF(AND($F$11="X",$F$7=16),(Grundtoleranzen!U57),IF(AND($F$11="X",$F$7=17),(Grundtoleranzen!U57),IF(AND($F$11="X",$F$7=18),(Grundtoleranzen!U57),"Error"))))))))))))))))))</f>
        <v>#REF!</v>
      </c>
      <c r="Z25" s="70" t="e">
        <f>IF(AND($F$11="Z",$F$7=1),(Grundtoleranzen!V57),IF(AND($F$11="Z",$F$7=2),(Grundtoleranzen!V57),IF(AND($F$11="Z",$F$7=3),(Grundtoleranzen!V57)+Grundtoleranzen!$Z57,IF(AND($F$11="Z",$F$7=4),(Grundtoleranzen!V57)+Grundtoleranzen!$AA57,IF(AND($F$11="Z",$F$7=5),(Grundtoleranzen!V57)+Grundtoleranzen!$AB57,IF(AND($F$11="Z",$F$7=6),(Grundtoleranzen!V57)+Grundtoleranzen!$AC57,IF(AND($F$11="Z",$F$7=7),(Grundtoleranzen!V57)+Grundtoleranzen!$AD57,IF(AND($F$11="Z",$F$7=8),(Grundtoleranzen!V57),IF(AND($F$11="Z",$F$7=9),(Grundtoleranzen!V57),IF(AND($F$11="Z",$F$7=10),(Grundtoleranzen!V57),IF(AND($F$11="Z",$F$7=11),(Grundtoleranzen!V57),IF(AND($F$11="Z",$F$7=12),(Grundtoleranzen!V57),IF(AND($F$11="Z",$F$7=13),(Grundtoleranzen!V57),IF(AND($F$11="Z",$F$7=14),(Grundtoleranzen!V57),IF(AND($F$11="Z",$F$7=15),(Grundtoleranzen!V57),IF(AND($F$11="Z",$F$7=16),(Grundtoleranzen!V57),IF(AND($F$11="Z",$F$7=17),(Grundtoleranzen!V57),IF(AND($F$11="Z",$F$7=18),(Grundtoleranzen!V57),"Error"))))))))))))))))))</f>
        <v>#REF!</v>
      </c>
      <c r="AA25" s="70" t="e">
        <f>IF(AND($F$11="ZA",$F$7=1),(Grundtoleranzen!W57),IF(AND($F$11="ZA",$F$7=2),(Grundtoleranzen!W57),IF(AND($F$11="ZA",$F$7=3),(Grundtoleranzen!W57)+Grundtoleranzen!$Z57,IF(AND($F$11="ZA",$F$7=4),(Grundtoleranzen!W57)+Grundtoleranzen!$AA57,IF(AND($F$11="ZA",$F$7=5),(Grundtoleranzen!W57)+Grundtoleranzen!$AB57,IF(AND($F$11="ZA",$F$7=6),(Grundtoleranzen!W57)+Grundtoleranzen!$AC57,IF(AND($F$11="ZA",$F$7=7),(Grundtoleranzen!W57)+Grundtoleranzen!$AD57,IF(AND($F$11="ZA",$F$7=8),(Grundtoleranzen!W57),IF(AND($F$11="ZA",$F$7=9),(Grundtoleranzen!W57),IF(AND($F$11="ZA",$F$7=10),(Grundtoleranzen!W57),IF(AND($F$11="ZA",$F$7=11),(Grundtoleranzen!W57),IF(AND($F$11="ZA",$F$7=12),(Grundtoleranzen!W57),IF(AND($F$11="ZA",$F$7=13),(Grundtoleranzen!W57),IF(AND($F$11="ZA",$F$7=14),(Grundtoleranzen!W57),IF(AND($F$11="ZA",$F$7=15),(Grundtoleranzen!W57),IF(AND($F$11="ZA",$F$7=16),(Grundtoleranzen!W57),IF(AND($F$11="ZA",$F$7=17),(Grundtoleranzen!W57),IF(AND($F$11="ZA",$F$7=18),(Grundtoleranzen!W57),"Error"))))))))))))))))))</f>
        <v>#REF!</v>
      </c>
      <c r="AB25" s="70" t="e">
        <f>IF(AND($F$11="ZB",$F$7=1),(Grundtoleranzen!X57),IF(AND($F$11="ZB",$F$7=2),(Grundtoleranzen!X57),IF(AND($F$11="ZB",$F$7=3),(Grundtoleranzen!X57)+Grundtoleranzen!$Z57,IF(AND($F$11="ZB",$F$7=4),(Grundtoleranzen!X57)+Grundtoleranzen!$AA57,IF(AND($F$11="ZB",$F$7=5),(Grundtoleranzen!X57)+Grundtoleranzen!$AB57,IF(AND($F$11="ZB",$F$7=6),(Grundtoleranzen!X57)+Grundtoleranzen!$AC57,IF(AND($F$11="ZB",$F$7=7),(Grundtoleranzen!X57)+Grundtoleranzen!$AD57,IF(AND($F$11="ZB",$F$7=8),(Grundtoleranzen!X57),IF(AND($F$11="ZB",$F$7=9),(Grundtoleranzen!X57),IF(AND($F$11="ZB",$F$7=10),(Grundtoleranzen!X57),IF(AND($F$11="ZB",$F$7=11),(Grundtoleranzen!X57),IF(AND($F$11="ZB",$F$7=12),(Grundtoleranzen!X57),IF(AND($F$11="ZB",$F$7=13),(Grundtoleranzen!X57),IF(AND($F$11="ZB",$F$7=14),(Grundtoleranzen!X57),IF(AND($F$11="ZB",$F$7=15),(Grundtoleranzen!X57),IF(AND($F$11="ZB",$F$7=16),(Grundtoleranzen!X57),IF(AND($F$11="ZB",$F$7=17),(Grundtoleranzen!X57),IF(AND($F$11="ZB",$F$7=18),(Grundtoleranzen!X57),"Error"))))))))))))))))))</f>
        <v>#REF!</v>
      </c>
      <c r="AC25" s="70" t="e">
        <f>IF(AND($F$11="ZC",$F$7=1),(Grundtoleranzen!Y57),IF(AND($F$11="ZC",$F$7=2),(Grundtoleranzen!Y57),IF(AND($F$11="ZC",$F$7=3),(Grundtoleranzen!Y57)+Grundtoleranzen!$Z57,IF(AND($F$11="ZC",$F$7=4),(Grundtoleranzen!Y57)+Grundtoleranzen!$AA57,IF(AND($F$11="ZC",$F$7=5),(Grundtoleranzen!Y57)+Grundtoleranzen!$AB57,IF(AND($F$11="ZC",$F$7=6),(Grundtoleranzen!Y57)+Grundtoleranzen!$AC57,IF(AND($F$11="ZC",$F$7=7),(Grundtoleranzen!Y57)+Grundtoleranzen!$AD57,IF(AND($F$11="ZC",$F$7=8),(Grundtoleranzen!Y57),IF(AND($F$11="ZC",$F$7=9),(Grundtoleranzen!Y57),IF(AND($F$11="ZC",$F$7=10),(Grundtoleranzen!Y57),IF(AND($F$11="ZC",$F$7=11),(Grundtoleranzen!Y57),IF(AND($F$11="ZC",$F$7=12),(Grundtoleranzen!Y57),IF(AND($F$11="ZC",$F$7=13),(Grundtoleranzen!Y57),IF(AND($F$11="ZC",$F$7=14),(Grundtoleranzen!Y57),IF(AND($F$11="ZC",$F$7=15),(Grundtoleranzen!Y57),IF(AND($F$11="ZC",$F$7=16),(Grundtoleranzen!Y57),IF(AND($F$11="ZC",$F$7=17),(Grundtoleranzen!Y57),IF(AND($F$11="ZC",$F$7=18),(Grundtoleranzen!Y57),"Error"))))))))))))))))))</f>
        <v>#REF!</v>
      </c>
    </row>
    <row r="26" spans="1:29" ht="15.75" thickBot="1" x14ac:dyDescent="0.3">
      <c r="K26" s="24" t="s">
        <v>148</v>
      </c>
      <c r="L26" s="68" t="e">
        <f>IF(AND(F$11="C"),Grundtoleranzen!B58,IF(AND(F$11="D"),Grundtoleranzen!C58,IF(AND(F$11="E"),Grundtoleranzen!D58,IF(AND(F$11="F"),Grundtoleranzen!E58,IF(AND(F$11="G"),Grundtoleranzen!F58,IF(AND(F$11="H"),Grundtoleranzen!G58))))))</f>
        <v>#REF!</v>
      </c>
      <c r="P26" s="70" t="e">
        <f>IF(AND(F$11="J",F$7=6),(Grundtoleranzen!I58),IF(AND(F$11="J",F$7=7),(Grundtoleranzen!J58),IF(AND(F$11="J",F$7=8),(Grundtoleranzen!K58),"Nur IT6-8")))</f>
        <v>#REF!</v>
      </c>
      <c r="Q26" s="83" t="e">
        <f>IF(AND($F$11="K",$F$7=1),(Grundtoleranzen!L58),IF(AND($F$11="K",$F$7=2),(Grundtoleranzen!L58),IF(AND($F$11="K",$F$7=3),(Grundtoleranzen!L58)+Grundtoleranzen!Z58,IF(AND($F$11="K",$F$7=4),(Grundtoleranzen!L58)+Grundtoleranzen!AA58,IF(AND($F$11="K",$F$7=5),(Grundtoleranzen!L58)+Grundtoleranzen!AB58,IF(AND($F$11="K",$F$7=6),(Grundtoleranzen!L58)+Grundtoleranzen!AC58,IF(AND($F$11="K",$F$7=7),(Grundtoleranzen!L58)+Grundtoleranzen!AD58,IF(AND($F$11="K",$F$7=8),(Grundtoleranzen!L58)+Grundtoleranzen!AE58,"Nur IT 1 - 8"))))))))</f>
        <v>#REF!</v>
      </c>
      <c r="R26" s="70" t="e">
        <f>IF(AND($F$11="M",$F$7=1),(Grundtoleranzen!M58),IF(AND($F$11="M",$F$7=2),(Grundtoleranzen!M58),IF(AND($F$11="M",$F$7=3),(Grundtoleranzen!M58)+Grundtoleranzen!$Z58,IF(AND($F$11="M",$F$7=4),(Grundtoleranzen!M58)+Grundtoleranzen!$AA58,IF(AND($F$11="M",$F$7=5),(Grundtoleranzen!M58)+Grundtoleranzen!$AB58,IF(AND($F$11="M",$F$7=6),(Grundtoleranzen!M58)+Grundtoleranzen!$AC58,IF(AND($F$11="M",$F$7=7),(Grundtoleranzen!M58)+Grundtoleranzen!$AD58,IF(AND($F$11="M",$F$7=8),(Grundtoleranzen!M58)+Grundtoleranzen!$AE58,IF(AND($F$11="M",$F$7=9),(Grundtoleranzen!M58),IF(AND($F$11="M",$F$7=10),(Grundtoleranzen!M58),IF(AND($F$11="M",$F$7=11),(Grundtoleranzen!M58),IF(AND($F$11="M",$F$7=12),(Grundtoleranzen!M58),IF(AND($F$11="M",$F$7=13),(Grundtoleranzen!M58),IF(AND($F$11="M",$F$7=14),(Grundtoleranzen!M58),IF(AND($F$11="M",$F$7=15),(Grundtoleranzen!M58),IF(AND($F$11="M",$F$7=16),(Grundtoleranzen!M58),IF(AND($F$11="M",$F$7=17),(Grundtoleranzen!M58),IF(AND($F$11="M",$F$7=18),(Grundtoleranzen!M58),"Error"))))))))))))))))))</f>
        <v>#REF!</v>
      </c>
      <c r="S26" s="70" t="e">
        <f>IF(AND($F$11="N",$F$7=1),(Grundtoleranzen!N58),IF(AND($F$11="N",$F$7=2),(Grundtoleranzen!N58),IF(AND($F$11="N",$F$7=3),(Grundtoleranzen!N58)+Grundtoleranzen!$Z58,IF(AND($F$11="N",$F$7=4),(Grundtoleranzen!N58)+Grundtoleranzen!$AA58,IF(AND($F$11="N",$F$7=5),(Grundtoleranzen!N58)+Grundtoleranzen!$AB58,IF(AND($F$11="N",$F$7=6),(Grundtoleranzen!N58)+Grundtoleranzen!$AC58,IF(AND($F$11="N",$F$7=7),(Grundtoleranzen!N58)+Grundtoleranzen!$AD58,IF(AND($F$11="N",$F$7=8),(Grundtoleranzen!N58)+Grundtoleranzen!$AE58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#REF!</v>
      </c>
      <c r="T26" s="70" t="e">
        <f>IF(AND($F$11="P",$F$7=1),(Grundtoleranzen!P58),IF(AND($F$11="P",$F$7=2),(Grundtoleranzen!P58),IF(AND($F$11="P",$F$7=3),(Grundtoleranzen!P58)+Grundtoleranzen!$Z58,IF(AND($F$11="P",$F$7=4),(Grundtoleranzen!P58)+Grundtoleranzen!$AA58,IF(AND($F$11="P",$F$7=5),(Grundtoleranzen!P58)+Grundtoleranzen!$AB58,IF(AND($F$11="P",$F$7=6),(Grundtoleranzen!P58)+Grundtoleranzen!$AC58,IF(AND($F$11="P",$F$7=7),(Grundtoleranzen!P58)+Grundtoleranzen!$AD58,IF(AND($F$11="P",$F$7=8),(Grundtoleranzen!P58),IF(AND($F$11="P",$F$7=9),(Grundtoleranzen!P58),IF(AND($F$11="P",$F$7=10),(Grundtoleranzen!P58),IF(AND($F$11="P",$F$7=11),(Grundtoleranzen!P58),IF(AND($F$11="P",$F$7=12),(Grundtoleranzen!P58),IF(AND($F$11="P",$F$7=13),(Grundtoleranzen!P58),IF(AND($F$11="P",$F$7=14),(Grundtoleranzen!P58),IF(AND($F$11="P",$F$7=15),(Grundtoleranzen!P58),IF(AND($F$11="P",$F$7=16),(Grundtoleranzen!P58),IF(AND($F$11="P",$F$7=17),(Grundtoleranzen!P58),IF(AND($F$11="P",$F$7=18),(Grundtoleranzen!P58),"Error"))))))))))))))))))</f>
        <v>#REF!</v>
      </c>
      <c r="U26" s="70" t="e">
        <f>IF(AND($F$11="R",$F$7=1),(Grundtoleranzen!Q58),IF(AND($F$11="R",$F$7=2),(Grundtoleranzen!Q58),IF(AND($F$11="R",$F$7=3),(Grundtoleranzen!Q58)+Grundtoleranzen!$Z58,IF(AND($F$11="R",$F$7=4),(Grundtoleranzen!Q58)+Grundtoleranzen!$AA58,IF(AND($F$11="R",$F$7=5),(Grundtoleranzen!Q58)+Grundtoleranzen!$AB58,IF(AND($F$11="R",$F$7=6),(Grundtoleranzen!Q58)+Grundtoleranzen!$AC58,IF(AND($F$11="R",$F$7=7),(Grundtoleranzen!Q58)+Grundtoleranzen!$AD58,IF(AND($F$11="R",$F$7=8),(Grundtoleranzen!Q58)+Grundtoleranzen!$AE58,IF(AND($F$11="R",$F$7=9),(Grundtoleranzen!Q58),IF(AND($F$11="R",$F$7=10),(Grundtoleranzen!Q58),IF(AND($F$11="R",$F$7=11),(Grundtoleranzen!Q58),IF(AND($F$11="R",$F$7=12),(Grundtoleranzen!Q58),IF(AND($F$11="R",$F$7=13),(Grundtoleranzen!Q58),IF(AND($F$11="R",$F$7=14),(Grundtoleranzen!Q58),IF(AND($F$11="R",$F$7=15),(Grundtoleranzen!Q58),IF(AND($F$11="R",$F$7=16),(Grundtoleranzen!Q58),IF(AND($F$11="R",$F$7=17),(Grundtoleranzen!Q58),IF(AND($F$11="R",$F$7=18),(Grundtoleranzen!Q58),"Error"))))))))))))))))))</f>
        <v>#REF!</v>
      </c>
      <c r="V26" s="70" t="e">
        <f>IF(AND($F$11="S",$F$7=1),Grundtoleranzen!R58,IF(AND($F$11="S",$F$7=2),(Grundtoleranzen!R58),IF(AND($F$11="S",$F$7=3),(Grundtoleranzen!R58)+Grundtoleranzen!$Z58,IF(AND($F$11="S",$F$7=4),(Grundtoleranzen!R58)+Grundtoleranzen!$AA58,IF(AND($F$11="S",$F$7=5),(Grundtoleranzen!R58)+Grundtoleranzen!$AB58,IF(AND($F$11="S",$F$7=6),(Grundtoleranzen!R58)+Grundtoleranzen!$AC58,IF(AND($F$11="S",$F$7=7),(Grundtoleranzen!R58)+Grundtoleranzen!$AD58,IF(AND($F$11="S",$F$7=8),(Grundtoleranzen!R58),IF(AND($F$11="S",$F$7=9),(Grundtoleranzen!R58),IF(AND($F$11="S",$F$7=10),(Grundtoleranzen!R58),IF(AND($F$11="S",$F$7=11),(Grundtoleranzen!R58),IF(AND($F$11="S",$F$7=12),(Grundtoleranzen!R58),IF(AND($F$11="S",$F$7=13),(Grundtoleranzen!R58),IF(AND($F$11="S",$F$7=14),(Grundtoleranzen!R58),IF(AND($F$11="S",$F$7=15),(Grundtoleranzen!R58),IF(AND($F$11="S",$F$7=16),(Grundtoleranzen!R58),IF(AND($F$11="S",$F$7=17),(Grundtoleranzen!R58),IF(AND($F$11="S",$F$7=18),(Grundtoleranzen!R58),"Error"))))))))))))))))))</f>
        <v>#REF!</v>
      </c>
      <c r="W26" s="70" t="e">
        <f>IF(AND($F$11="T",$F$7=1),(Grundtoleranzen!S58),IF(AND($F$11="T",$F$7=2),(Grundtoleranzen!S58),IF(AND($F$11="T",$F$7=3),(Grundtoleranzen!S58)+Grundtoleranzen!$Z58,IF(AND($F$11="T",$F$7=4),(Grundtoleranzen!S58)+Grundtoleranzen!$AA58,IF(AND($F$11="T",$F$7=5),(Grundtoleranzen!S58)+Grundtoleranzen!$AB58,IF(AND($F$11="T",$F$7=6),(Grundtoleranzen!S58)+Grundtoleranzen!$AC58,IF(AND($F$11="T",$F$7=7),(Grundtoleranzen!S58)+Grundtoleranzen!$AD58,IF(AND($F$11="T",$F$7=8),(Grundtoleranzen!S58),IF(AND($F$11="T",$F$7=9),(Grundtoleranzen!S58),IF(AND($F$11="T",$F$7=10),(Grundtoleranzen!S58),IF(AND($F$11="T",$F$7=11),(Grundtoleranzen!S58),IF(AND($F$11="T",$F$7=12),(Grundtoleranzen!S58),IF(AND($F$11="T",$F$7=13),(Grundtoleranzen!S58),IF(AND($F$11="T",$F$7=14),(Grundtoleranzen!S58),IF(AND($F$11="T",$F$7=15),(Grundtoleranzen!S58),IF(AND($F$11="T",$F$7=16),(Grundtoleranzen!S58),IF(AND($F$11="T",$F$7=17),(Grundtoleranzen!S58),IF(AND($F$11="T",$F$7=18),(Grundtoleranzen!S58),"Error"))))))))))))))))))</f>
        <v>#REF!</v>
      </c>
      <c r="X26" s="70" t="e">
        <f>IF(AND($F$11="U",$F$7=1),(Grundtoleranzen!T58),IF(AND($F$11="U",$F$7=2),(Grundtoleranzen!T58),IF(AND($F$11="U",$F$7=3),(Grundtoleranzen!T58)+Grundtoleranzen!$Z58,IF(AND($F$11="U",$F$7=4),(Grundtoleranzen!T58)+Grundtoleranzen!$AA58,IF(AND($F$11="U",$F$7=5),(Grundtoleranzen!T58)+Grundtoleranzen!$AB58,IF(AND($F$11="U",$F$7=6),(Grundtoleranzen!T58)+Grundtoleranzen!$AC58,IF(AND($F$11="U",$F$7=7),(Grundtoleranzen!T58)+Grundtoleranzen!$AD58,IF(AND($F$11="U",$F$7=8),(Grundtoleranzen!T58),IF(AND($F$11="U",$F$7=9),(Grundtoleranzen!T58),IF(AND($F$11="U",$F$7=10),(Grundtoleranzen!T58),IF(AND($F$11="U",$F$7=11),(Grundtoleranzen!T58),IF(AND($F$11="U",$F$7=12),(Grundtoleranzen!T58),IF(AND($F$11="U",$F$7=13),(Grundtoleranzen!T58),IF(AND($F$11="U",$F$7=14),(Grundtoleranzen!T58),IF(AND($F$11="U",$F$7=15),(Grundtoleranzen!T58),IF(AND($F$11="U",$F$7=16),(Grundtoleranzen!T58),IF(AND($F$11="U",$F$7=17),(Grundtoleranzen!T58),IF(AND($F$11="U",$F$7=18),(Grundtoleranzen!T58),"Error"))))))))))))))))))</f>
        <v>#REF!</v>
      </c>
      <c r="Y26" s="70" t="e">
        <f>IF(AND($F$11="X",$F$7=1),(Grundtoleranzen!U58),IF(AND($F$11="X",$F$7=2),(Grundtoleranzen!U58),IF(AND($F$11="X",$F$7=3),(Grundtoleranzen!U58)+Grundtoleranzen!$Z58,IF(AND($F$11="X",$F$7=4),(Grundtoleranzen!U58)+Grundtoleranzen!$AA58,IF(AND($F$11="X",$F$7=5),(Grundtoleranzen!U58)+Grundtoleranzen!$AB58,IF(AND($F$11="X",$F$7=6),(Grundtoleranzen!U58)+Grundtoleranzen!$AC58,IF(AND($F$11="X",$F$7=7),(Grundtoleranzen!U58)+Grundtoleranzen!$AD58,IF(AND($F$11="X",$F$7=8),(Grundtoleranzen!U58)+Grundtoleranzen!$AE58,IF(AND($F$11="X",$F$7=9),(Grundtoleranzen!U58),IF(AND($F$11="X",$F$7=10),(Grundtoleranzen!U58),IF(AND($F$11="X",$F$7=11),(Grundtoleranzen!U58),IF(AND($F$11="X",$F$7=12),(Grundtoleranzen!U58),IF(AND($F$11="X",$F$7=13),(Grundtoleranzen!U58),IF(AND($F$11="X",$F$7=14),(Grundtoleranzen!U58),IF(AND($F$11="X",$F$7=15),(Grundtoleranzen!U58),IF(AND($F$11="X",$F$7=16),(Grundtoleranzen!U58),IF(AND($F$11="X",$F$7=17),(Grundtoleranzen!U58),IF(AND($F$11="X",$F$7=18),(Grundtoleranzen!U58),"Error"))))))))))))))))))</f>
        <v>#REF!</v>
      </c>
      <c r="Z26" s="70" t="e">
        <f>IF(AND($F$11="Z",$F$7=1),(Grundtoleranzen!V58),IF(AND($F$11="Z",$F$7=2),(Grundtoleranzen!V58),IF(AND($F$11="Z",$F$7=3),(Grundtoleranzen!V58)+Grundtoleranzen!$Z58,IF(AND($F$11="Z",$F$7=4),(Grundtoleranzen!V58)+Grundtoleranzen!$AA58,IF(AND($F$11="Z",$F$7=5),(Grundtoleranzen!V58)+Grundtoleranzen!$AB58,IF(AND($F$11="Z",$F$7=6),(Grundtoleranzen!V58)+Grundtoleranzen!$AC58,IF(AND($F$11="Z",$F$7=7),(Grundtoleranzen!V58)+Grundtoleranzen!$AD58,IF(AND($F$11="Z",$F$7=8),(Grundtoleranzen!V58),IF(AND($F$11="Z",$F$7=9),(Grundtoleranzen!V58),IF(AND($F$11="Z",$F$7=10),(Grundtoleranzen!V58),IF(AND($F$11="Z",$F$7=11),(Grundtoleranzen!V58),IF(AND($F$11="Z",$F$7=12),(Grundtoleranzen!V58),IF(AND($F$11="Z",$F$7=13),(Grundtoleranzen!V58),IF(AND($F$11="Z",$F$7=14),(Grundtoleranzen!V58),IF(AND($F$11="Z",$F$7=15),(Grundtoleranzen!V58),IF(AND($F$11="Z",$F$7=16),(Grundtoleranzen!V58),IF(AND($F$11="Z",$F$7=17),(Grundtoleranzen!V58),IF(AND($F$11="Z",$F$7=18),(Grundtoleranzen!V58),"Error"))))))))))))))))))</f>
        <v>#REF!</v>
      </c>
      <c r="AA26" s="70" t="e">
        <f>IF(AND($F$11="ZA",$F$7=1),(Grundtoleranzen!W58),IF(AND($F$11="ZA",$F$7=2),(Grundtoleranzen!W58),IF(AND($F$11="ZA",$F$7=3),(Grundtoleranzen!W58)+Grundtoleranzen!$Z58,IF(AND($F$11="ZA",$F$7=4),(Grundtoleranzen!W58)+Grundtoleranzen!$AA58,IF(AND($F$11="ZA",$F$7=5),(Grundtoleranzen!W58)+Grundtoleranzen!$AB58,IF(AND($F$11="ZA",$F$7=6),(Grundtoleranzen!W58)+Grundtoleranzen!$AC58,IF(AND($F$11="ZA",$F$7=7),(Grundtoleranzen!W58)+Grundtoleranzen!$AD58,IF(AND($F$11="ZA",$F$7=8),(Grundtoleranzen!W58),IF(AND($F$11="ZA",$F$7=9),(Grundtoleranzen!W58),IF(AND($F$11="ZA",$F$7=10),(Grundtoleranzen!W58),IF(AND($F$11="ZA",$F$7=11),(Grundtoleranzen!W58),IF(AND($F$11="ZA",$F$7=12),(Grundtoleranzen!W58),IF(AND($F$11="ZA",$F$7=13),(Grundtoleranzen!W58),IF(AND($F$11="ZA",$F$7=14),(Grundtoleranzen!W58),IF(AND($F$11="ZA",$F$7=15),(Grundtoleranzen!W58),IF(AND($F$11="ZA",$F$7=16),(Grundtoleranzen!W58),IF(AND($F$11="ZA",$F$7=17),(Grundtoleranzen!W58),IF(AND($F$11="ZA",$F$7=18),(Grundtoleranzen!W58),"Error"))))))))))))))))))</f>
        <v>#REF!</v>
      </c>
      <c r="AB26" s="70" t="e">
        <f>IF(AND($F$11="ZB",$F$7=1),(Grundtoleranzen!X58),IF(AND($F$11="ZB",$F$7=2),(Grundtoleranzen!X58),IF(AND($F$11="ZB",$F$7=3),(Grundtoleranzen!X58)+Grundtoleranzen!$Z58,IF(AND($F$11="ZB",$F$7=4),(Grundtoleranzen!X58)+Grundtoleranzen!$AA58,IF(AND($F$11="ZB",$F$7=5),(Grundtoleranzen!X58)+Grundtoleranzen!$AB58,IF(AND($F$11="ZB",$F$7=6),(Grundtoleranzen!X58)+Grundtoleranzen!$AC58,IF(AND($F$11="ZB",$F$7=7),(Grundtoleranzen!X58)+Grundtoleranzen!$AD58,IF(AND($F$11="ZB",$F$7=8),(Grundtoleranzen!X58),IF(AND($F$11="ZB",$F$7=9),(Grundtoleranzen!X58),IF(AND($F$11="ZB",$F$7=10),(Grundtoleranzen!X58),IF(AND($F$11="ZB",$F$7=11),(Grundtoleranzen!X58),IF(AND($F$11="ZB",$F$7=12),(Grundtoleranzen!X58),IF(AND($F$11="ZB",$F$7=13),(Grundtoleranzen!X58),IF(AND($F$11="ZB",$F$7=14),(Grundtoleranzen!X58),IF(AND($F$11="ZB",$F$7=15),(Grundtoleranzen!X58),IF(AND($F$11="ZB",$F$7=16),(Grundtoleranzen!X58),IF(AND($F$11="ZB",$F$7=17),(Grundtoleranzen!X58),IF(AND($F$11="ZB",$F$7=18),(Grundtoleranzen!X58),"Error"))))))))))))))))))</f>
        <v>#REF!</v>
      </c>
      <c r="AC26" s="70" t="e">
        <f>IF(AND($F$11="ZC",$F$7=1),(Grundtoleranzen!Y58),IF(AND($F$11="ZC",$F$7=2),(Grundtoleranzen!Y58),IF(AND($F$11="ZC",$F$7=3),(Grundtoleranzen!Y58)+Grundtoleranzen!$Z58,IF(AND($F$11="ZC",$F$7=4),(Grundtoleranzen!Y58)+Grundtoleranzen!$AA58,IF(AND($F$11="ZC",$F$7=5),(Grundtoleranzen!Y58)+Grundtoleranzen!$AB58,IF(AND($F$11="ZC",$F$7=6),(Grundtoleranzen!Y58)+Grundtoleranzen!$AC58,IF(AND($F$11="ZC",$F$7=7),(Grundtoleranzen!Y58)+Grundtoleranzen!$AD58,IF(AND($F$11="ZC",$F$7=8),(Grundtoleranzen!Y58),IF(AND($F$11="ZC",$F$7=9),(Grundtoleranzen!Y58),IF(AND($F$11="ZC",$F$7=10),(Grundtoleranzen!Y58),IF(AND($F$11="ZC",$F$7=11),(Grundtoleranzen!Y58),IF(AND($F$11="ZC",$F$7=12),(Grundtoleranzen!Y58),IF(AND($F$11="ZC",$F$7=13),(Grundtoleranzen!Y58),IF(AND($F$11="ZC",$F$7=14),(Grundtoleranzen!Y58),IF(AND($F$11="ZC",$F$7=15),(Grundtoleranzen!Y58),IF(AND($F$11="ZC",$F$7=16),(Grundtoleranzen!Y58),IF(AND($F$11="ZC",$F$7=17),(Grundtoleranzen!Y58),IF(AND($F$11="ZC",$F$7=18),(Grundtoleranzen!Y58),"Error"))))))))))))))))))</f>
        <v>#REF!</v>
      </c>
    </row>
    <row r="27" spans="1:29" x14ac:dyDescent="0.25">
      <c r="D27" s="348" t="s">
        <v>193</v>
      </c>
      <c r="E27" s="276"/>
      <c r="F27" s="276"/>
      <c r="G27" s="276"/>
      <c r="H27" s="349"/>
      <c r="K27" s="24" t="s">
        <v>149</v>
      </c>
      <c r="L27" s="68" t="e">
        <f>IF(AND(F$11="C"),Grundtoleranzen!B59,IF(AND(F$11="D"),Grundtoleranzen!C59,IF(AND(F$11="E"),Grundtoleranzen!D59,IF(AND(F$11="F"),Grundtoleranzen!E59,IF(AND(F$11="G"),Grundtoleranzen!F59,IF(AND(F$11="H"),Grundtoleranzen!G59))))))</f>
        <v>#REF!</v>
      </c>
      <c r="P27" s="70" t="e">
        <f>IF(AND(F$11="J",F$7=6),(Grundtoleranzen!I59),IF(AND(F$11="J",F$7=7),(Grundtoleranzen!J59),IF(AND(F$11="J",F$7=8),(Grundtoleranzen!K59),"Nur IT6-8")))</f>
        <v>#REF!</v>
      </c>
      <c r="Q27" s="83" t="e">
        <f>IF(AND($F$11="K",$F$7=1),(Grundtoleranzen!L59),IF(AND($F$11="K",$F$7=2),(Grundtoleranzen!L59),IF(AND($F$11="K",$F$7=3),(Grundtoleranzen!L59)+Grundtoleranzen!Z59,IF(AND($F$11="K",$F$7=4),(Grundtoleranzen!L59)+Grundtoleranzen!AA59,IF(AND($F$11="K",$F$7=5),(Grundtoleranzen!L59)+Grundtoleranzen!AB59,IF(AND($F$11="K",$F$7=6),(Grundtoleranzen!L59)+Grundtoleranzen!AC59,IF(AND($F$11="K",$F$7=7),(Grundtoleranzen!L59)+Grundtoleranzen!AD59,IF(AND($F$11="K",$F$7=8),(Grundtoleranzen!L59)+Grundtoleranzen!AE59,"Nur IT 1 - 8"))))))))</f>
        <v>#REF!</v>
      </c>
      <c r="R27" s="70" t="e">
        <f>IF(AND($F$11="M",$F$7=1),(Grundtoleranzen!M59),IF(AND($F$11="M",$F$7=2),(Grundtoleranzen!M59),IF(AND($F$11="M",$F$7=3),(Grundtoleranzen!M59)+Grundtoleranzen!$Z59,IF(AND($F$11="M",$F$7=4),(Grundtoleranzen!M59)+Grundtoleranzen!$AA59,IF(AND($F$11="M",$F$7=5),(Grundtoleranzen!M59)+Grundtoleranzen!$AB59,IF(AND($F$11="M",$F$7=6),(Grundtoleranzen!M59)+Grundtoleranzen!$AC59,IF(AND($F$11="M",$F$7=7),(Grundtoleranzen!M59)+Grundtoleranzen!$AD59,IF(AND($F$11="M",$F$7=8),(Grundtoleranzen!M59)+Grundtoleranzen!$AE59,IF(AND($F$11="M",$F$7=9),(Grundtoleranzen!M59),IF(AND($F$11="M",$F$7=10),(Grundtoleranzen!M59),IF(AND($F$11="M",$F$7=11),(Grundtoleranzen!M59),IF(AND($F$11="M",$F$7=12),(Grundtoleranzen!M59),IF(AND($F$11="M",$F$7=13),(Grundtoleranzen!M59),IF(AND($F$11="M",$F$7=14),(Grundtoleranzen!M59),IF(AND($F$11="M",$F$7=15),(Grundtoleranzen!M59),IF(AND($F$11="M",$F$7=16),(Grundtoleranzen!M59),IF(AND($F$11="M",$F$7=17),(Grundtoleranzen!M59),IF(AND($F$11="M",$F$7=18),(Grundtoleranzen!M59),"Error"))))))))))))))))))</f>
        <v>#REF!</v>
      </c>
      <c r="S27" s="70" t="e">
        <f>IF(AND($F$11="N",$F$7=1),(Grundtoleranzen!N59),IF(AND($F$11="N",$F$7=2),(Grundtoleranzen!N59),IF(AND($F$11="N",$F$7=3),(Grundtoleranzen!N59)+Grundtoleranzen!$Z59,IF(AND($F$11="N",$F$7=4),(Grundtoleranzen!N59)+Grundtoleranzen!$AA59,IF(AND($F$11="N",$F$7=5),(Grundtoleranzen!N59)+Grundtoleranzen!$AB59,IF(AND($F$11="N",$F$7=6),(Grundtoleranzen!N59)+Grundtoleranzen!$AC59,IF(AND($F$11="N",$F$7=7),(Grundtoleranzen!N59)+Grundtoleranzen!$AD59,IF(AND($F$11="N",$F$7=8),(Grundtoleranzen!N59)+Grundtoleranzen!$AE59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#REF!</v>
      </c>
      <c r="T27" s="70" t="e">
        <f>IF(AND($F$11="P",$F$7=1),(Grundtoleranzen!P59),IF(AND($F$11="P",$F$7=2),(Grundtoleranzen!P59),IF(AND($F$11="P",$F$7=3),(Grundtoleranzen!P59)+Grundtoleranzen!$Z59,IF(AND($F$11="P",$F$7=4),(Grundtoleranzen!P59)+Grundtoleranzen!$AA59,IF(AND($F$11="P",$F$7=5),(Grundtoleranzen!P59)+Grundtoleranzen!$AB59,IF(AND($F$11="P",$F$7=6),(Grundtoleranzen!P59)+Grundtoleranzen!$AC59,IF(AND($F$11="P",$F$7=7),(Grundtoleranzen!P59)+Grundtoleranzen!$AD59,IF(AND($F$11="P",$F$7=8),(Grundtoleranzen!P59),IF(AND($F$11="P",$F$7=9),(Grundtoleranzen!P59),IF(AND($F$11="P",$F$7=10),(Grundtoleranzen!P59),IF(AND($F$11="P",$F$7=11),(Grundtoleranzen!P59),IF(AND($F$11="P",$F$7=12),(Grundtoleranzen!P59),IF(AND($F$11="P",$F$7=13),(Grundtoleranzen!P59),IF(AND($F$11="P",$F$7=14),(Grundtoleranzen!P59),IF(AND($F$11="P",$F$7=15),(Grundtoleranzen!P59),IF(AND($F$11="P",$F$7=16),(Grundtoleranzen!P59),IF(AND($F$11="P",$F$7=17),(Grundtoleranzen!P59),IF(AND($F$11="P",$F$7=18),(Grundtoleranzen!P59),"Error"))))))))))))))))))</f>
        <v>#REF!</v>
      </c>
      <c r="U27" s="70" t="e">
        <f>IF(AND($F$11="R",$F$7=1),(Grundtoleranzen!Q59),IF(AND($F$11="R",$F$7=2),(Grundtoleranzen!Q59),IF(AND($F$11="R",$F$7=3),(Grundtoleranzen!Q59)+Grundtoleranzen!$Z59,IF(AND($F$11="R",$F$7=4),(Grundtoleranzen!Q59)+Grundtoleranzen!$AA59,IF(AND($F$11="R",$F$7=5),(Grundtoleranzen!Q59)+Grundtoleranzen!$AB59,IF(AND($F$11="R",$F$7=6),(Grundtoleranzen!Q59)+Grundtoleranzen!$AC59,IF(AND($F$11="R",$F$7=7),(Grundtoleranzen!Q59)+Grundtoleranzen!$AD59,IF(AND($F$11="R",$F$7=8),(Grundtoleranzen!Q59)+Grundtoleranzen!$AE59,IF(AND($F$11="R",$F$7=9),(Grundtoleranzen!Q59),IF(AND($F$11="R",$F$7=10),(Grundtoleranzen!Q59),IF(AND($F$11="R",$F$7=11),(Grundtoleranzen!Q59),IF(AND($F$11="R",$F$7=12),(Grundtoleranzen!Q59),IF(AND($F$11="R",$F$7=13),(Grundtoleranzen!Q59),IF(AND($F$11="R",$F$7=14),(Grundtoleranzen!Q59),IF(AND($F$11="R",$F$7=15),(Grundtoleranzen!Q59),IF(AND($F$11="R",$F$7=16),(Grundtoleranzen!Q59),IF(AND($F$11="R",$F$7=17),(Grundtoleranzen!Q59),IF(AND($F$11="R",$F$7=18),(Grundtoleranzen!Q59),"Error"))))))))))))))))))</f>
        <v>#REF!</v>
      </c>
      <c r="V27" s="70" t="e">
        <f>IF(AND($F$11="S",$F$7=1),Grundtoleranzen!R59,IF(AND($F$11="S",$F$7=2),(Grundtoleranzen!R59),IF(AND($F$11="S",$F$7=3),(Grundtoleranzen!R59)+Grundtoleranzen!$Z59,IF(AND($F$11="S",$F$7=4),(Grundtoleranzen!R59)+Grundtoleranzen!$AA59,IF(AND($F$11="S",$F$7=5),(Grundtoleranzen!R59)+Grundtoleranzen!$AB59,IF(AND($F$11="S",$F$7=6),(Grundtoleranzen!R59)+Grundtoleranzen!$AC59,IF(AND($F$11="S",$F$7=7),(Grundtoleranzen!R59)+Grundtoleranzen!$AD59,IF(AND($F$11="S",$F$7=8),(Grundtoleranzen!R59),IF(AND($F$11="S",$F$7=9),(Grundtoleranzen!R59),IF(AND($F$11="S",$F$7=10),(Grundtoleranzen!R59),IF(AND($F$11="S",$F$7=11),(Grundtoleranzen!R59),IF(AND($F$11="S",$F$7=12),(Grundtoleranzen!R59),IF(AND($F$11="S",$F$7=13),(Grundtoleranzen!R59),IF(AND($F$11="S",$F$7=14),(Grundtoleranzen!R59),IF(AND($F$11="S",$F$7=15),(Grundtoleranzen!R59),IF(AND($F$11="S",$F$7=16),(Grundtoleranzen!R59),IF(AND($F$11="S",$F$7=17),(Grundtoleranzen!R59),IF(AND($F$11="S",$F$7=18),(Grundtoleranzen!R59),"Error"))))))))))))))))))</f>
        <v>#REF!</v>
      </c>
      <c r="W27" s="70" t="e">
        <f>IF(AND($F$11="T",$F$7=1),(Grundtoleranzen!S59),IF(AND($F$11="T",$F$7=2),(Grundtoleranzen!S59),IF(AND($F$11="T",$F$7=3),(Grundtoleranzen!S59)+Grundtoleranzen!$Z59,IF(AND($F$11="T",$F$7=4),(Grundtoleranzen!S59)+Grundtoleranzen!$AA59,IF(AND($F$11="T",$F$7=5),(Grundtoleranzen!S59)+Grundtoleranzen!$AB59,IF(AND($F$11="T",$F$7=6),(Grundtoleranzen!S59)+Grundtoleranzen!$AC59,IF(AND($F$11="T",$F$7=7),(Grundtoleranzen!S59)+Grundtoleranzen!$AD59,IF(AND($F$11="T",$F$7=8),(Grundtoleranzen!S59),IF(AND($F$11="T",$F$7=9),(Grundtoleranzen!S59),IF(AND($F$11="T",$F$7=10),(Grundtoleranzen!S59),IF(AND($F$11="T",$F$7=11),(Grundtoleranzen!S59),IF(AND($F$11="T",$F$7=12),(Grundtoleranzen!S59),IF(AND($F$11="T",$F$7=13),(Grundtoleranzen!S59),IF(AND($F$11="T",$F$7=14),(Grundtoleranzen!S59),IF(AND($F$11="T",$F$7=15),(Grundtoleranzen!S59),IF(AND($F$11="T",$F$7=16),(Grundtoleranzen!S59),IF(AND($F$11="T",$F$7=17),(Grundtoleranzen!S59),IF(AND($F$11="T",$F$7=18),(Grundtoleranzen!S59),"Error"))))))))))))))))))</f>
        <v>#REF!</v>
      </c>
      <c r="X27" s="70" t="e">
        <f>IF(AND($F$11="U",$F$7=1),(Grundtoleranzen!T59),IF(AND($F$11="U",$F$7=2),(Grundtoleranzen!T59),IF(AND($F$11="U",$F$7=3),(Grundtoleranzen!T59)+Grundtoleranzen!$Z59,IF(AND($F$11="U",$F$7=4),(Grundtoleranzen!T59)+Grundtoleranzen!$AA59,IF(AND($F$11="U",$F$7=5),(Grundtoleranzen!T59)+Grundtoleranzen!$AB59,IF(AND($F$11="U",$F$7=6),(Grundtoleranzen!T59)+Grundtoleranzen!$AC59,IF(AND($F$11="U",$F$7=7),(Grundtoleranzen!T59)+Grundtoleranzen!$AD59,IF(AND($F$11="U",$F$7=8),(Grundtoleranzen!T59),IF(AND($F$11="U",$F$7=9),(Grundtoleranzen!T59),IF(AND($F$11="U",$F$7=10),(Grundtoleranzen!T59),IF(AND($F$11="U",$F$7=11),(Grundtoleranzen!T59),IF(AND($F$11="U",$F$7=12),(Grundtoleranzen!T59),IF(AND($F$11="U",$F$7=13),(Grundtoleranzen!T59),IF(AND($F$11="U",$F$7=14),(Grundtoleranzen!T59),IF(AND($F$11="U",$F$7=15),(Grundtoleranzen!T59),IF(AND($F$11="U",$F$7=16),(Grundtoleranzen!T59),IF(AND($F$11="U",$F$7=17),(Grundtoleranzen!T59),IF(AND($F$11="U",$F$7=18),(Grundtoleranzen!T59),"Error"))))))))))))))))))</f>
        <v>#REF!</v>
      </c>
      <c r="Y27" s="70" t="e">
        <f>IF(AND($F$11="X",$F$7=1),(Grundtoleranzen!U59),IF(AND($F$11="X",$F$7=2),(Grundtoleranzen!U59),IF(AND($F$11="X",$F$7=3),(Grundtoleranzen!U59)+Grundtoleranzen!$Z59,IF(AND($F$11="X",$F$7=4),(Grundtoleranzen!U59)+Grundtoleranzen!$AA59,IF(AND($F$11="X",$F$7=5),(Grundtoleranzen!U59)+Grundtoleranzen!$AB59,IF(AND($F$11="X",$F$7=6),(Grundtoleranzen!U59)+Grundtoleranzen!$AC59,IF(AND($F$11="X",$F$7=7),(Grundtoleranzen!U59)+Grundtoleranzen!$AD59,IF(AND($F$11="X",$F$7=8),(Grundtoleranzen!U59)+Grundtoleranzen!$AE59,IF(AND($F$11="X",$F$7=9),(Grundtoleranzen!U59),IF(AND($F$11="X",$F$7=10),(Grundtoleranzen!U59),IF(AND($F$11="X",$F$7=11),(Grundtoleranzen!U59),IF(AND($F$11="X",$F$7=12),(Grundtoleranzen!U59),IF(AND($F$11="X",$F$7=13),(Grundtoleranzen!U59),IF(AND($F$11="X",$F$7=14),(Grundtoleranzen!U59),IF(AND($F$11="X",$F$7=15),(Grundtoleranzen!U59),IF(AND($F$11="X",$F$7=16),(Grundtoleranzen!U59),IF(AND($F$11="X",$F$7=17),(Grundtoleranzen!U59),IF(AND($F$11="X",$F$7=18),(Grundtoleranzen!U59),"Error"))))))))))))))))))</f>
        <v>#REF!</v>
      </c>
      <c r="Z27" s="70" t="e">
        <f>IF(AND($F$11="Z",$F$7=1),(Grundtoleranzen!V59),IF(AND($F$11="Z",$F$7=2),(Grundtoleranzen!V59),IF(AND($F$11="Z",$F$7=3),(Grundtoleranzen!V59)+Grundtoleranzen!$Z59,IF(AND($F$11="Z",$F$7=4),(Grundtoleranzen!V59)+Grundtoleranzen!$AA59,IF(AND($F$11="Z",$F$7=5),(Grundtoleranzen!V59)+Grundtoleranzen!$AB59,IF(AND($F$11="Z",$F$7=6),(Grundtoleranzen!V59)+Grundtoleranzen!$AC59,IF(AND($F$11="Z",$F$7=7),(Grundtoleranzen!V59)+Grundtoleranzen!$AD59,IF(AND($F$11="Z",$F$7=8),(Grundtoleranzen!V59),IF(AND($F$11="Z",$F$7=9),(Grundtoleranzen!V59),IF(AND($F$11="Z",$F$7=10),(Grundtoleranzen!V59),IF(AND($F$11="Z",$F$7=11),(Grundtoleranzen!V59),IF(AND($F$11="Z",$F$7=12),(Grundtoleranzen!V59),IF(AND($F$11="Z",$F$7=13),(Grundtoleranzen!V59),IF(AND($F$11="Z",$F$7=14),(Grundtoleranzen!V59),IF(AND($F$11="Z",$F$7=15),(Grundtoleranzen!V59),IF(AND($F$11="Z",$F$7=16),(Grundtoleranzen!V59),IF(AND($F$11="Z",$F$7=17),(Grundtoleranzen!V59),IF(AND($F$11="Z",$F$7=18),(Grundtoleranzen!V59),"Error"))))))))))))))))))</f>
        <v>#REF!</v>
      </c>
      <c r="AA27" s="70" t="e">
        <f>IF(AND($F$11="ZA",$F$7=1),(Grundtoleranzen!W59),IF(AND($F$11="ZA",$F$7=2),(Grundtoleranzen!W59),IF(AND($F$11="ZA",$F$7=3),(Grundtoleranzen!W59)+Grundtoleranzen!$Z59,IF(AND($F$11="ZA",$F$7=4),(Grundtoleranzen!W59)+Grundtoleranzen!$AA59,IF(AND($F$11="ZA",$F$7=5),(Grundtoleranzen!W59)+Grundtoleranzen!$AB59,IF(AND($F$11="ZA",$F$7=6),(Grundtoleranzen!W59)+Grundtoleranzen!$AC59,IF(AND($F$11="ZA",$F$7=7),(Grundtoleranzen!W59)+Grundtoleranzen!$AD59,IF(AND($F$11="ZA",$F$7=8),(Grundtoleranzen!W59),IF(AND($F$11="ZA",$F$7=9),(Grundtoleranzen!W59),IF(AND($F$11="ZA",$F$7=10),(Grundtoleranzen!W59),IF(AND($F$11="ZA",$F$7=11),(Grundtoleranzen!W59),IF(AND($F$11="ZA",$F$7=12),(Grundtoleranzen!W59),IF(AND($F$11="ZA",$F$7=13),(Grundtoleranzen!W59),IF(AND($F$11="ZA",$F$7=14),(Grundtoleranzen!W59),IF(AND($F$11="ZA",$F$7=15),(Grundtoleranzen!W59),IF(AND($F$11="ZA",$F$7=16),(Grundtoleranzen!W59),IF(AND($F$11="ZA",$F$7=17),(Grundtoleranzen!W59),IF(AND($F$11="ZA",$F$7=18),(Grundtoleranzen!W59),"Error"))))))))))))))))))</f>
        <v>#REF!</v>
      </c>
      <c r="AB27" s="70" t="e">
        <f>IF(AND($F$11="ZB",$F$7=1),(Grundtoleranzen!X59),IF(AND($F$11="ZB",$F$7=2),(Grundtoleranzen!X59),IF(AND($F$11="ZB",$F$7=3),(Grundtoleranzen!X59)+Grundtoleranzen!$Z59,IF(AND($F$11="ZB",$F$7=4),(Grundtoleranzen!X59)+Grundtoleranzen!$AA59,IF(AND($F$11="ZB",$F$7=5),(Grundtoleranzen!X59)+Grundtoleranzen!$AB59,IF(AND($F$11="ZB",$F$7=6),(Grundtoleranzen!X59)+Grundtoleranzen!$AC59,IF(AND($F$11="ZB",$F$7=7),(Grundtoleranzen!X59)+Grundtoleranzen!$AD59,IF(AND($F$11="ZB",$F$7=8),(Grundtoleranzen!X59),IF(AND($F$11="ZB",$F$7=9),(Grundtoleranzen!X59),IF(AND($F$11="ZB",$F$7=10),(Grundtoleranzen!X59),IF(AND($F$11="ZB",$F$7=11),(Grundtoleranzen!X59),IF(AND($F$11="ZB",$F$7=12),(Grundtoleranzen!X59),IF(AND($F$11="ZB",$F$7=13),(Grundtoleranzen!X59),IF(AND($F$11="ZB",$F$7=14),(Grundtoleranzen!X59),IF(AND($F$11="ZB",$F$7=15),(Grundtoleranzen!X59),IF(AND($F$11="ZB",$F$7=16),(Grundtoleranzen!X59),IF(AND($F$11="ZB",$F$7=17),(Grundtoleranzen!X59),IF(AND($F$11="ZB",$F$7=18),(Grundtoleranzen!X59),"Error"))))))))))))))))))</f>
        <v>#REF!</v>
      </c>
      <c r="AC27" s="70" t="e">
        <f>IF(AND($F$11="ZC",$F$7=1),(Grundtoleranzen!Y59),IF(AND($F$11="ZC",$F$7=2),(Grundtoleranzen!Y59),IF(AND($F$11="ZC",$F$7=3),(Grundtoleranzen!Y59)+Grundtoleranzen!$Z59,IF(AND($F$11="ZC",$F$7=4),(Grundtoleranzen!Y59)+Grundtoleranzen!$AA59,IF(AND($F$11="ZC",$F$7=5),(Grundtoleranzen!Y59)+Grundtoleranzen!$AB59,IF(AND($F$11="ZC",$F$7=6),(Grundtoleranzen!Y59)+Grundtoleranzen!$AC59,IF(AND($F$11="ZC",$F$7=7),(Grundtoleranzen!Y59)+Grundtoleranzen!$AD59,IF(AND($F$11="ZC",$F$7=8),(Grundtoleranzen!Y59),IF(AND($F$11="ZC",$F$7=9),(Grundtoleranzen!Y59),IF(AND($F$11="ZC",$F$7=10),(Grundtoleranzen!Y59),IF(AND($F$11="ZC",$F$7=11),(Grundtoleranzen!Y59),IF(AND($F$11="ZC",$F$7=12),(Grundtoleranzen!Y59),IF(AND($F$11="ZC",$F$7=13),(Grundtoleranzen!Y59),IF(AND($F$11="ZC",$F$7=14),(Grundtoleranzen!Y59),IF(AND($F$11="ZC",$F$7=15),(Grundtoleranzen!Y59),IF(AND($F$11="ZC",$F$7=16),(Grundtoleranzen!Y59),IF(AND($F$11="ZC",$F$7=17),(Grundtoleranzen!Y59),IF(AND($F$11="ZC",$F$7=18),(Grundtoleranzen!Y59),"Error"))))))))))))))))))</f>
        <v>#REF!</v>
      </c>
    </row>
    <row r="28" spans="1:29" ht="15.75" x14ac:dyDescent="0.25">
      <c r="D28" s="372" t="s">
        <v>1</v>
      </c>
      <c r="E28" s="373"/>
      <c r="F28" s="86" t="s">
        <v>32</v>
      </c>
      <c r="G28" s="364" t="str">
        <f>IFERROR(IF(AND(F11="JS"),N31,IF(AND(F11="J"),P31,IF(AND(F11="K"),Q31,IF(AND(F11="M"),R31,IF(AND(F11="N"),S31,IF(AND(F11="P"),T31,IF(AND(F11="R"),U31,IF(AND(F11="S"),V31,IF(AND(F11="T"),W31,IF(AND(F11="U"),X31,IF(AND(F11="X"),Y31,IF(AND(F11="Z"),Z31,IF(AND(F11="ZA"),AA31,IF(AND(F11="ZB"),AB31,IF(AND(F11="ZC"),AC31,L31))))))))))))))),"Grundabmaß T kann")</f>
        <v>Grundabmaß T kann</v>
      </c>
      <c r="H28" s="365"/>
      <c r="K28" s="25" t="s">
        <v>150</v>
      </c>
      <c r="L28" s="68" t="e">
        <f>IF(AND(F$11="C"),Grundtoleranzen!B60,IF(AND(F$11="D"),Grundtoleranzen!C60,IF(AND(F$11="E"),Grundtoleranzen!D60,IF(AND(F$11="F"),Grundtoleranzen!E60,IF(AND(F$11="G"),Grundtoleranzen!F60,IF(AND(F$11="H"),Grundtoleranzen!G60))))))</f>
        <v>#REF!</v>
      </c>
      <c r="P28" s="70" t="e">
        <f>IF(AND(F$11="J",F$7=6),(Grundtoleranzen!I60),IF(AND(F$11="J",F$7=7),(Grundtoleranzen!J60),IF(AND(F$11="J",F$7=8),(Grundtoleranzen!K60),"Nur IT6-8")))</f>
        <v>#REF!</v>
      </c>
      <c r="Q28" s="83" t="e">
        <f>IF(AND($F$11="K",$F$7=1),(Grundtoleranzen!L60),IF(AND($F$11="K",$F$7=2),(Grundtoleranzen!L60),IF(AND($F$11="K",$F$7=3),(Grundtoleranzen!L60)+Grundtoleranzen!Z60,IF(AND($F$11="K",$F$7=4),(Grundtoleranzen!L60)+Grundtoleranzen!AA60,IF(AND($F$11="K",$F$7=5),(Grundtoleranzen!L60)+Grundtoleranzen!AB60,IF(AND($F$11="K",$F$7=6),(Grundtoleranzen!L60)+Grundtoleranzen!AC60,IF(AND($F$11="K",$F$7=7),(Grundtoleranzen!L60)+Grundtoleranzen!AD60,IF(AND($F$11="K",$F$7=8),(Grundtoleranzen!L60)+Grundtoleranzen!AE60,"Nur IT 1 - 8"))))))))</f>
        <v>#REF!</v>
      </c>
      <c r="R28" s="70" t="e">
        <f>IF(AND($F$11="M",$F$7=1),(Grundtoleranzen!M60),IF(AND($F$11="M",$F$7=2),(Grundtoleranzen!M60),IF(AND($F$11="M",$F$7=3),(Grundtoleranzen!M60)+Grundtoleranzen!$Z60,IF(AND($F$11="M",$F$7=4),(Grundtoleranzen!M60)+Grundtoleranzen!$AA60,IF(AND($F$11="M",$F$7=5),(Grundtoleranzen!M60)+Grundtoleranzen!$AB60,IF(AND($F$11="M",$F$7=6),(Grundtoleranzen!M60)+Grundtoleranzen!$AC60,IF(AND($F$11="M",$F$7=7),(Grundtoleranzen!M60)+Grundtoleranzen!$AD60,IF(AND($F$11="M",$F$7=8),(Grundtoleranzen!M60)+Grundtoleranzen!$AE60,IF(AND($F$11="M",$F$7=9),(Grundtoleranzen!M60),IF(AND($F$11="M",$F$7=10),(Grundtoleranzen!M60),IF(AND($F$11="M",$F$7=11),(Grundtoleranzen!M60),IF(AND($F$11="M",$F$7=12),(Grundtoleranzen!M60),IF(AND($F$11="M",$F$7=13),(Grundtoleranzen!M60),IF(AND($F$11="M",$F$7=14),(Grundtoleranzen!M60),IF(AND($F$11="M",$F$7=15),(Grundtoleranzen!M60),IF(AND($F$11="M",$F$7=16),(Grundtoleranzen!M60),IF(AND($F$11="M",$F$7=17),(Grundtoleranzen!M60),IF(AND($F$11="M",$F$7=18),(Grundtoleranzen!M60),"Error"))))))))))))))))))</f>
        <v>#REF!</v>
      </c>
      <c r="S28" s="70" t="e">
        <f>IF(AND($F$11="N",$F$7=1),(Grundtoleranzen!N60),IF(AND($F$11="N",$F$7=2),(Grundtoleranzen!N60),IF(AND($F$11="N",$F$7=3),(Grundtoleranzen!N60)+Grundtoleranzen!$Z60,IF(AND($F$11="N",$F$7=4),(Grundtoleranzen!N60)+Grundtoleranzen!$AA60,IF(AND($F$11="N",$F$7=5),(Grundtoleranzen!N60)+Grundtoleranzen!$AB60,IF(AND($F$11="N",$F$7=6),(Grundtoleranzen!N60)+Grundtoleranzen!$AC60,IF(AND($F$11="N",$F$7=7),(Grundtoleranzen!N60)+Grundtoleranzen!$AD60,IF(AND($F$11="N",$F$7=8),(Grundtoleranzen!N60)+Grundtoleranzen!$AE60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#REF!</v>
      </c>
      <c r="T28" s="70" t="e">
        <f>IF(AND($F$11="P",$F$7=1),(Grundtoleranzen!P60),IF(AND($F$11="P",$F$7=2),(Grundtoleranzen!P60),IF(AND($F$11="P",$F$7=3),(Grundtoleranzen!P60)+Grundtoleranzen!$Z60,IF(AND($F$11="P",$F$7=4),(Grundtoleranzen!P60)+Grundtoleranzen!$AA60,IF(AND($F$11="P",$F$7=5),(Grundtoleranzen!P60)+Grundtoleranzen!$AB60,IF(AND($F$11="P",$F$7=6),(Grundtoleranzen!P60)+Grundtoleranzen!$AC60,IF(AND($F$11="P",$F$7=7),(Grundtoleranzen!P60)+Grundtoleranzen!$AD60,IF(AND($F$11="P",$F$7=8),(Grundtoleranzen!P60),IF(AND($F$11="P",$F$7=9),(Grundtoleranzen!P60),IF(AND($F$11="P",$F$7=10),(Grundtoleranzen!P60),IF(AND($F$11="P",$F$7=11),(Grundtoleranzen!P60),IF(AND($F$11="P",$F$7=12),(Grundtoleranzen!P60),IF(AND($F$11="P",$F$7=13),(Grundtoleranzen!P60),IF(AND($F$11="P",$F$7=14),(Grundtoleranzen!P60),IF(AND($F$11="P",$F$7=15),(Grundtoleranzen!P60),IF(AND($F$11="P",$F$7=16),(Grundtoleranzen!P60),IF(AND($F$11="P",$F$7=17),(Grundtoleranzen!P60),IF(AND($F$11="P",$F$7=18),(Grundtoleranzen!P60),"Error"))))))))))))))))))</f>
        <v>#REF!</v>
      </c>
      <c r="U28" s="70" t="e">
        <f>IF(AND($F$11="R",$F$7=1),(Grundtoleranzen!Q60),IF(AND($F$11="R",$F$7=2),(Grundtoleranzen!Q60),IF(AND($F$11="R",$F$7=3),(Grundtoleranzen!Q60)+Grundtoleranzen!$Z60,IF(AND($F$11="R",$F$7=4),(Grundtoleranzen!Q60)+Grundtoleranzen!$AA60,IF(AND($F$11="R",$F$7=5),(Grundtoleranzen!Q60)+Grundtoleranzen!$AB60,IF(AND($F$11="R",$F$7=6),(Grundtoleranzen!Q60)+Grundtoleranzen!$AC60,IF(AND($F$11="R",$F$7=7),(Grundtoleranzen!Q60)+Grundtoleranzen!$AD60,IF(AND($F$11="R",$F$7=8),(Grundtoleranzen!Q60)+Grundtoleranzen!$AE60,IF(AND($F$11="R",$F$7=9),(Grundtoleranzen!Q60),IF(AND($F$11="R",$F$7=10),(Grundtoleranzen!Q60),IF(AND($F$11="R",$F$7=11),(Grundtoleranzen!Q60),IF(AND($F$11="R",$F$7=12),(Grundtoleranzen!Q60),IF(AND($F$11="R",$F$7=13),(Grundtoleranzen!Q60),IF(AND($F$11="R",$F$7=14),(Grundtoleranzen!Q60),IF(AND($F$11="R",$F$7=15),(Grundtoleranzen!Q60),IF(AND($F$11="R",$F$7=16),(Grundtoleranzen!Q60),IF(AND($F$11="R",$F$7=17),(Grundtoleranzen!Q60),IF(AND($F$11="R",$F$7=18),(Grundtoleranzen!Q60),"Error"))))))))))))))))))</f>
        <v>#REF!</v>
      </c>
      <c r="V28" s="70" t="e">
        <f>IF(AND($F$11="S",$F$7=1),Grundtoleranzen!R60,IF(AND($F$11="S",$F$7=2),(Grundtoleranzen!R60),IF(AND($F$11="S",$F$7=3),(Grundtoleranzen!R60)+Grundtoleranzen!$Z60,IF(AND($F$11="S",$F$7=4),(Grundtoleranzen!R60)+Grundtoleranzen!$AA60,IF(AND($F$11="S",$F$7=5),(Grundtoleranzen!R60)+Grundtoleranzen!$AB60,IF(AND($F$11="S",$F$7=6),(Grundtoleranzen!R60)+Grundtoleranzen!$AC60,IF(AND($F$11="S",$F$7=7),(Grundtoleranzen!R60)+Grundtoleranzen!$AD60,IF(AND($F$11="S",$F$7=8),(Grundtoleranzen!R60),IF(AND($F$11="S",$F$7=9),(Grundtoleranzen!R60),IF(AND($F$11="S",$F$7=10),(Grundtoleranzen!R60),IF(AND($F$11="S",$F$7=11),(Grundtoleranzen!R60),IF(AND($F$11="S",$F$7=12),(Grundtoleranzen!R60),IF(AND($F$11="S",$F$7=13),(Grundtoleranzen!R60),IF(AND($F$11="S",$F$7=14),(Grundtoleranzen!R60),IF(AND($F$11="S",$F$7=15),(Grundtoleranzen!R60),IF(AND($F$11="S",$F$7=16),(Grundtoleranzen!R60),IF(AND($F$11="S",$F$7=17),(Grundtoleranzen!R60),IF(AND($F$11="S",$F$7=18),(Grundtoleranzen!R60),"Error"))))))))))))))))))</f>
        <v>#REF!</v>
      </c>
      <c r="W28" s="70" t="e">
        <f>IF(AND($F$11="T",$F$7=1),(Grundtoleranzen!S60),IF(AND($F$11="T",$F$7=2),(Grundtoleranzen!S60),IF(AND($F$11="T",$F$7=3),(Grundtoleranzen!S60)+Grundtoleranzen!$Z60,IF(AND($F$11="T",$F$7=4),(Grundtoleranzen!S60)+Grundtoleranzen!$AA60,IF(AND($F$11="T",$F$7=5),(Grundtoleranzen!S60)+Grundtoleranzen!$AB60,IF(AND($F$11="T",$F$7=6),(Grundtoleranzen!S60)+Grundtoleranzen!$AC60,IF(AND($F$11="T",$F$7=7),(Grundtoleranzen!S60)+Grundtoleranzen!$AD60,IF(AND($F$11="T",$F$7=8),(Grundtoleranzen!S60),IF(AND($F$11="T",$F$7=9),(Grundtoleranzen!S60),IF(AND($F$11="T",$F$7=10),(Grundtoleranzen!S60),IF(AND($F$11="T",$F$7=11),(Grundtoleranzen!S60),IF(AND($F$11="T",$F$7=12),(Grundtoleranzen!S60),IF(AND($F$11="T",$F$7=13),(Grundtoleranzen!S60),IF(AND($F$11="T",$F$7=14),(Grundtoleranzen!S60),IF(AND($F$11="T",$F$7=15),(Grundtoleranzen!S60),IF(AND($F$11="T",$F$7=16),(Grundtoleranzen!S60),IF(AND($F$11="T",$F$7=17),(Grundtoleranzen!S60),IF(AND($F$11="T",$F$7=18),(Grundtoleranzen!S60),"Error"))))))))))))))))))</f>
        <v>#REF!</v>
      </c>
      <c r="X28" s="70" t="e">
        <f>IF(AND($F$11="U",$F$7=1),(Grundtoleranzen!T60),IF(AND($F$11="U",$F$7=2),(Grundtoleranzen!T60),IF(AND($F$11="U",$F$7=3),(Grundtoleranzen!T60)+Grundtoleranzen!$Z60,IF(AND($F$11="U",$F$7=4),(Grundtoleranzen!T60)+Grundtoleranzen!$AA60,IF(AND($F$11="U",$F$7=5),(Grundtoleranzen!T60)+Grundtoleranzen!$AB60,IF(AND($F$11="U",$F$7=6),(Grundtoleranzen!T60)+Grundtoleranzen!$AC60,IF(AND($F$11="U",$F$7=7),(Grundtoleranzen!T60)+Grundtoleranzen!$AD60,IF(AND($F$11="U",$F$7=8),(Grundtoleranzen!T60),IF(AND($F$11="U",$F$7=9),(Grundtoleranzen!T60),IF(AND($F$11="U",$F$7=10),(Grundtoleranzen!T60),IF(AND($F$11="U",$F$7=11),(Grundtoleranzen!T60),IF(AND($F$11="U",$F$7=12),(Grundtoleranzen!T60),IF(AND($F$11="U",$F$7=13),(Grundtoleranzen!T60),IF(AND($F$11="U",$F$7=14),(Grundtoleranzen!T60),IF(AND($F$11="U",$F$7=15),(Grundtoleranzen!T60),IF(AND($F$11="U",$F$7=16),(Grundtoleranzen!T60),IF(AND($F$11="U",$F$7=17),(Grundtoleranzen!T60),IF(AND($F$11="U",$F$7=18),(Grundtoleranzen!T60),"Error"))))))))))))))))))</f>
        <v>#REF!</v>
      </c>
      <c r="Y28" s="70" t="e">
        <f>IF(AND($F$11="X",$F$7=1),(Grundtoleranzen!U60),IF(AND($F$11="X",$F$7=2),(Grundtoleranzen!U60),IF(AND($F$11="X",$F$7=3),(Grundtoleranzen!U60)+Grundtoleranzen!$Z60,IF(AND($F$11="X",$F$7=4),(Grundtoleranzen!U60)+Grundtoleranzen!$AA60,IF(AND($F$11="X",$F$7=5),(Grundtoleranzen!U60)+Grundtoleranzen!$AB60,IF(AND($F$11="X",$F$7=6),(Grundtoleranzen!U60)+Grundtoleranzen!$AC60,IF(AND($F$11="X",$F$7=7),(Grundtoleranzen!U60)+Grundtoleranzen!$AD60,IF(AND($F$11="X",$F$7=8),(Grundtoleranzen!U60)+Grundtoleranzen!$AE60,IF(AND($F$11="X",$F$7=9),(Grundtoleranzen!U60),IF(AND($F$11="X",$F$7=10),(Grundtoleranzen!U60),IF(AND($F$11="X",$F$7=11),(Grundtoleranzen!U60),IF(AND($F$11="X",$F$7=12),(Grundtoleranzen!U60),IF(AND($F$11="X",$F$7=13),(Grundtoleranzen!U60),IF(AND($F$11="X",$F$7=14),(Grundtoleranzen!U60),IF(AND($F$11="X",$F$7=15),(Grundtoleranzen!U60),IF(AND($F$11="X",$F$7=16),(Grundtoleranzen!U60),IF(AND($F$11="X",$F$7=17),(Grundtoleranzen!U60),IF(AND($F$11="X",$F$7=18),(Grundtoleranzen!U60),"Error"))))))))))))))))))</f>
        <v>#REF!</v>
      </c>
      <c r="Z28" s="70" t="e">
        <f>IF(AND($F$11="Z",$F$7=1),(Grundtoleranzen!V60),IF(AND($F$11="Z",$F$7=2),(Grundtoleranzen!V60),IF(AND($F$11="Z",$F$7=3),(Grundtoleranzen!V60)+Grundtoleranzen!$Z60,IF(AND($F$11="Z",$F$7=4),(Grundtoleranzen!V60)+Grundtoleranzen!$AA60,IF(AND($F$11="Z",$F$7=5),(Grundtoleranzen!V60)+Grundtoleranzen!$AB60,IF(AND($F$11="Z",$F$7=6),(Grundtoleranzen!V60)+Grundtoleranzen!$AC60,IF(AND($F$11="Z",$F$7=7),(Grundtoleranzen!V60)+Grundtoleranzen!$AD60,IF(AND($F$11="Z",$F$7=8),(Grundtoleranzen!V60),IF(AND($F$11="Z",$F$7=9),(Grundtoleranzen!V60),IF(AND($F$11="Z",$F$7=10),(Grundtoleranzen!V60),IF(AND($F$11="Z",$F$7=11),(Grundtoleranzen!V60),IF(AND($F$11="Z",$F$7=12),(Grundtoleranzen!V60),IF(AND($F$11="Z",$F$7=13),(Grundtoleranzen!V60),IF(AND($F$11="Z",$F$7=14),(Grundtoleranzen!V60),IF(AND($F$11="Z",$F$7=15),(Grundtoleranzen!V60),IF(AND($F$11="Z",$F$7=16),(Grundtoleranzen!V60),IF(AND($F$11="Z",$F$7=17),(Grundtoleranzen!V60),IF(AND($F$11="Z",$F$7=18),(Grundtoleranzen!V60),"Error"))))))))))))))))))</f>
        <v>#REF!</v>
      </c>
      <c r="AA28" s="70" t="e">
        <f>IF(AND($F$11="ZA",$F$7=1),(Grundtoleranzen!W60),IF(AND($F$11="ZA",$F$7=2),(Grundtoleranzen!W60),IF(AND($F$11="ZA",$F$7=3),(Grundtoleranzen!W60)+Grundtoleranzen!$Z60,IF(AND($F$11="ZA",$F$7=4),(Grundtoleranzen!W60)+Grundtoleranzen!$AA60,IF(AND($F$11="ZA",$F$7=5),(Grundtoleranzen!W60)+Grundtoleranzen!$AB60,IF(AND($F$11="ZA",$F$7=6),(Grundtoleranzen!W60)+Grundtoleranzen!$AC60,IF(AND($F$11="ZA",$F$7=7),(Grundtoleranzen!W60)+Grundtoleranzen!$AD60,IF(AND($F$11="ZA",$F$7=8),(Grundtoleranzen!W60),IF(AND($F$11="ZA",$F$7=9),(Grundtoleranzen!W60),IF(AND($F$11="ZA",$F$7=10),(Grundtoleranzen!W60),IF(AND($F$11="ZA",$F$7=11),(Grundtoleranzen!W60),IF(AND($F$11="ZA",$F$7=12),(Grundtoleranzen!W60),IF(AND($F$11="ZA",$F$7=13),(Grundtoleranzen!W60),IF(AND($F$11="ZA",$F$7=14),(Grundtoleranzen!W60),IF(AND($F$11="ZA",$F$7=15),(Grundtoleranzen!W60),IF(AND($F$11="ZA",$F$7=16),(Grundtoleranzen!W60),IF(AND($F$11="ZA",$F$7=17),(Grundtoleranzen!W60),IF(AND($F$11="ZA",$F$7=18),(Grundtoleranzen!W60),"Error"))))))))))))))))))</f>
        <v>#REF!</v>
      </c>
      <c r="AB28" s="70" t="e">
        <f>IF(AND($F$11="ZB",$F$7=1),(Grundtoleranzen!X60),IF(AND($F$11="ZB",$F$7=2),(Grundtoleranzen!X60),IF(AND($F$11="ZB",$F$7=3),(Grundtoleranzen!X60)+Grundtoleranzen!$Z60,IF(AND($F$11="ZB",$F$7=4),(Grundtoleranzen!X60)+Grundtoleranzen!$AA60,IF(AND($F$11="ZB",$F$7=5),(Grundtoleranzen!X60)+Grundtoleranzen!$AB60,IF(AND($F$11="ZB",$F$7=6),(Grundtoleranzen!X60)+Grundtoleranzen!$AC60,IF(AND($F$11="ZB",$F$7=7),(Grundtoleranzen!X60)+Grundtoleranzen!$AD60,IF(AND($F$11="ZB",$F$7=8),(Grundtoleranzen!X60),IF(AND($F$11="ZB",$F$7=9),(Grundtoleranzen!X60),IF(AND($F$11="ZB",$F$7=10),(Grundtoleranzen!X60),IF(AND($F$11="ZB",$F$7=11),(Grundtoleranzen!X60),IF(AND($F$11="ZB",$F$7=12),(Grundtoleranzen!X60),IF(AND($F$11="ZB",$F$7=13),(Grundtoleranzen!X60),IF(AND($F$11="ZB",$F$7=14),(Grundtoleranzen!X60),IF(AND($F$11="ZB",$F$7=15),(Grundtoleranzen!X60),IF(AND($F$11="ZB",$F$7=16),(Grundtoleranzen!X60),IF(AND($F$11="ZB",$F$7=17),(Grundtoleranzen!X60),IF(AND($F$11="ZB",$F$7=18),(Grundtoleranzen!X60),"Error"))))))))))))))))))</f>
        <v>#REF!</v>
      </c>
      <c r="AC28" s="70" t="e">
        <f>IF(AND($F$11="ZC",$F$7=1),(Grundtoleranzen!Y60),IF(AND($F$11="ZC",$F$7=2),(Grundtoleranzen!Y60),IF(AND($F$11="ZC",$F$7=3),(Grundtoleranzen!Y60)+Grundtoleranzen!$Z60,IF(AND($F$11="ZC",$F$7=4),(Grundtoleranzen!Y60)+Grundtoleranzen!$AA60,IF(AND($F$11="ZC",$F$7=5),(Grundtoleranzen!Y60)+Grundtoleranzen!$AB60,IF(AND($F$11="ZC",$F$7=6),(Grundtoleranzen!Y60)+Grundtoleranzen!$AC60,IF(AND($F$11="ZC",$F$7=7),(Grundtoleranzen!Y60)+Grundtoleranzen!$AD60,IF(AND($F$11="ZC",$F$7=8),(Grundtoleranzen!Y60),IF(AND($F$11="ZC",$F$7=9),(Grundtoleranzen!Y60),IF(AND($F$11="ZC",$F$7=10),(Grundtoleranzen!Y60),IF(AND($F$11="ZC",$F$7=11),(Grundtoleranzen!Y60),IF(AND($F$11="ZC",$F$7=12),(Grundtoleranzen!Y60),IF(AND($F$11="ZC",$F$7=13),(Grundtoleranzen!Y60),IF(AND($F$11="ZC",$F$7=14),(Grundtoleranzen!Y60),IF(AND($F$11="ZC",$F$7=15),(Grundtoleranzen!Y60),IF(AND($F$11="ZC",$F$7=16),(Grundtoleranzen!Y60),IF(AND($F$11="ZC",$F$7=17),(Grundtoleranzen!Y60),IF(AND($F$11="ZC",$F$7=18),(Grundtoleranzen!Y60),"Error"))))))))))))))))))</f>
        <v>#REF!</v>
      </c>
    </row>
    <row r="29" spans="1:29" ht="16.5" thickBot="1" x14ac:dyDescent="0.3">
      <c r="D29" s="89" t="s">
        <v>2</v>
      </c>
      <c r="E29" s="87"/>
      <c r="F29" s="86" t="s">
        <v>33</v>
      </c>
      <c r="G29" s="364" t="str">
        <f>IFERROR(IF(AND(F11="JS"),N33,IF(AND(F11="J"),P33,IF(AND(F11="K"),Q33,IF(AND(F11="M"),R33,IF(AND(F11="N"),S33,IF(AND(F11="P"),T33,IF(AND(F11="R"),U33,IF(AND(F11="S"),V33,IF(AND(F11="T"),W33,IF(AND(F11="U"),X33,IF(AND(F11="X"),Y33,IF(AND(F11="Z"),Z33,IF(AND(F11="ZA"),AA33,IF(AND(F11="ZB"),AB33,IF(AND(F11="ZC"),AC33,L33))))))))))))))),"erst ab einen Ø ")</f>
        <v xml:space="preserve">erst ab einen Ø </v>
      </c>
      <c r="H29" s="365"/>
      <c r="K29" s="79" t="s">
        <v>151</v>
      </c>
      <c r="L29" s="68" t="e">
        <f>IF(AND(F$11="C"),Grundtoleranzen!B61,IF(AND(F$11="D"),Grundtoleranzen!C61,IF(AND(F$11="E"),Grundtoleranzen!D61,IF(AND(F$11="F"),Grundtoleranzen!E61,IF(AND(F$11="G"),Grundtoleranzen!F61,IF(AND(F$11="H"),Grundtoleranzen!G61))))))</f>
        <v>#REF!</v>
      </c>
      <c r="P29" s="70" t="e">
        <f>IF(AND(F$11="J",F$7=6),(Grundtoleranzen!I61),IF(AND(F$11="J",F$7=7),(Grundtoleranzen!J61),IF(AND(F$11="J",F$7=8),(Grundtoleranzen!K61),"Nur IT6-8")))</f>
        <v>#REF!</v>
      </c>
      <c r="Q29" s="83" t="e">
        <f>IF(AND($F$11="K",$F$7=1),(Grundtoleranzen!L61),IF(AND($F$11="K",$F$7=2),(Grundtoleranzen!L61),IF(AND($F$11="K",$F$7=3),(Grundtoleranzen!L61)+Grundtoleranzen!Z61,IF(AND($F$11="K",$F$7=4),(Grundtoleranzen!L61)+Grundtoleranzen!AA61,IF(AND($F$11="K",$F$7=5),(Grundtoleranzen!L61)+Grundtoleranzen!AB61,IF(AND($F$11="K",$F$7=6),(Grundtoleranzen!L61)+Grundtoleranzen!AC61,IF(AND($F$11="K",$F$7=7),(Grundtoleranzen!L61)+Grundtoleranzen!AD61,IF(AND($F$11="K",$F$7=8),(Grundtoleranzen!L61)+Grundtoleranzen!AE61,"Nur IT 1 - 8"))))))))</f>
        <v>#REF!</v>
      </c>
      <c r="R29" s="70" t="e">
        <f>IF(AND($F$11="M",$F$7=1),(Grundtoleranzen!M61),IF(AND($F$11="M",$F$7=2),(Grundtoleranzen!M61),IF(AND($F$11="M",$F$7=3),(Grundtoleranzen!M61)+Grundtoleranzen!$Z61,IF(AND($F$11="M",$F$7=4),(Grundtoleranzen!M61)+Grundtoleranzen!$AA61,IF(AND($F$11="M",$F$7=5),(Grundtoleranzen!M61)+Grundtoleranzen!$AB61,IF(AND($F$11="M",$F$7=6),(Grundtoleranzen!M61)+Grundtoleranzen!$AC61,IF(AND($F$11="M",$F$7=7),(Grundtoleranzen!M61)+Grundtoleranzen!$AD61,IF(AND($F$11="M",$F$7=8),(Grundtoleranzen!M61)+Grundtoleranzen!$AE61,IF(AND($F$11="M",$F$7=9),(Grundtoleranzen!M61),IF(AND($F$11="M",$F$7=10),(Grundtoleranzen!M61),IF(AND($F$11="M",$F$7=11),(Grundtoleranzen!M61),IF(AND($F$11="M",$F$7=12),(Grundtoleranzen!M61),IF(AND($F$11="M",$F$7=13),(Grundtoleranzen!M61),IF(AND($F$11="M",$F$7=14),(Grundtoleranzen!M61),IF(AND($F$11="M",$F$7=15),(Grundtoleranzen!M61),IF(AND($F$11="M",$F$7=16),(Grundtoleranzen!M61),IF(AND($F$11="M",$F$7=17),(Grundtoleranzen!M61),IF(AND($F$11="M",$F$7=18),(Grundtoleranzen!M61),"Error"))))))))))))))))))</f>
        <v>#REF!</v>
      </c>
      <c r="S29" s="70" t="e">
        <f>IF(AND($F$11="N",$F$7=1),(Grundtoleranzen!N61),IF(AND($F$11="N",$F$7=2),(Grundtoleranzen!N61),IF(AND($F$11="N",$F$7=3),(Grundtoleranzen!N61)+Grundtoleranzen!$Z61,IF(AND($F$11="N",$F$7=4),(Grundtoleranzen!N61)+Grundtoleranzen!$AA61,IF(AND($F$11="N",$F$7=5),(Grundtoleranzen!N61)+Grundtoleranzen!$AB61,IF(AND($F$11="N",$F$7=6),(Grundtoleranzen!N61)+Grundtoleranzen!$AC61,IF(AND($F$11="N",$F$7=7),(Grundtoleranzen!N61)+Grundtoleranzen!$AD61,IF(AND($F$11="N",$F$7=8),(Grundtoleranzen!N61)+Grundtoleranzen!$AE61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#REF!</v>
      </c>
      <c r="T29" s="70" t="e">
        <f>IF(AND($F$11="P",$F$7=1),(Grundtoleranzen!P61),IF(AND($F$11="P",$F$7=2),(Grundtoleranzen!P61),IF(AND($F$11="P",$F$7=3),(Grundtoleranzen!P61)+Grundtoleranzen!$Z61,IF(AND($F$11="P",$F$7=4),(Grundtoleranzen!P61)+Grundtoleranzen!$AA61,IF(AND($F$11="P",$F$7=5),(Grundtoleranzen!P61)+Grundtoleranzen!$AB61,IF(AND($F$11="P",$F$7=6),(Grundtoleranzen!P61)+Grundtoleranzen!$AC61,IF(AND($F$11="P",$F$7=7),(Grundtoleranzen!P61)+Grundtoleranzen!$AD61,IF(AND($F$11="P",$F$7=8),(Grundtoleranzen!P61),IF(AND($F$11="P",$F$7=9),(Grundtoleranzen!P61),IF(AND($F$11="P",$F$7=10),(Grundtoleranzen!P61),IF(AND($F$11="P",$F$7=11),(Grundtoleranzen!P61),IF(AND($F$11="P",$F$7=12),(Grundtoleranzen!P61),IF(AND($F$11="P",$F$7=13),(Grundtoleranzen!P61),IF(AND($F$11="P",$F$7=14),(Grundtoleranzen!P61),IF(AND($F$11="P",$F$7=15),(Grundtoleranzen!P61),IF(AND($F$11="P",$F$7=16),(Grundtoleranzen!P61),IF(AND($F$11="P",$F$7=17),(Grundtoleranzen!P61),IF(AND($F$11="P",$F$7=18),(Grundtoleranzen!P61),"Error"))))))))))))))))))</f>
        <v>#REF!</v>
      </c>
      <c r="U29" s="70" t="e">
        <f>IF(AND($F$11="R",$F$7=1),(Grundtoleranzen!Q61),IF(AND($F$11="R",$F$7=2),(Grundtoleranzen!Q61),IF(AND($F$11="R",$F$7=3),(Grundtoleranzen!Q61)+Grundtoleranzen!$Z61,IF(AND($F$11="R",$F$7=4),(Grundtoleranzen!Q61)+Grundtoleranzen!$AA61,IF(AND($F$11="R",$F$7=5),(Grundtoleranzen!Q61)+Grundtoleranzen!$AB61,IF(AND($F$11="R",$F$7=6),(Grundtoleranzen!Q61)+Grundtoleranzen!$AC61,IF(AND($F$11="R",$F$7=7),(Grundtoleranzen!Q61)+Grundtoleranzen!$AD61,IF(AND($F$11="R",$F$7=8),(Grundtoleranzen!Q61)+Grundtoleranzen!$AE61,IF(AND($F$11="R",$F$7=9),(Grundtoleranzen!Q61),IF(AND($F$11="R",$F$7=10),(Grundtoleranzen!Q61),IF(AND($F$11="R",$F$7=11),(Grundtoleranzen!Q61),IF(AND($F$11="R",$F$7=12),(Grundtoleranzen!Q61),IF(AND($F$11="R",$F$7=13),(Grundtoleranzen!Q61),IF(AND($F$11="R",$F$7=14),(Grundtoleranzen!Q61),IF(AND($F$11="R",$F$7=15),(Grundtoleranzen!Q61),IF(AND($F$11="R",$F$7=16),(Grundtoleranzen!Q61),IF(AND($F$11="R",$F$7=17),(Grundtoleranzen!Q61),IF(AND($F$11="R",$F$7=18),(Grundtoleranzen!Q61),"Error"))))))))))))))))))</f>
        <v>#REF!</v>
      </c>
      <c r="V29" s="70" t="e">
        <f>IF(AND($F$11="S",$F$7=1),Grundtoleranzen!R61,IF(AND($F$11="S",$F$7=2),(Grundtoleranzen!R61),IF(AND($F$11="S",$F$7=3),(Grundtoleranzen!R61)+Grundtoleranzen!$Z61,IF(AND($F$11="S",$F$7=4),(Grundtoleranzen!R61)+Grundtoleranzen!$AA61,IF(AND($F$11="S",$F$7=5),(Grundtoleranzen!R61)+Grundtoleranzen!$AB61,IF(AND($F$11="S",$F$7=6),(Grundtoleranzen!R61)+Grundtoleranzen!$AC61,IF(AND($F$11="S",$F$7=7),(Grundtoleranzen!R61)+Grundtoleranzen!$AD61,IF(AND($F$11="S",$F$7=8),(Grundtoleranzen!R61),IF(AND($F$11="S",$F$7=9),(Grundtoleranzen!R61),IF(AND($F$11="S",$F$7=10),(Grundtoleranzen!R61),IF(AND($F$11="S",$F$7=11),(Grundtoleranzen!R61),IF(AND($F$11="S",$F$7=12),(Grundtoleranzen!R61),IF(AND($F$11="S",$F$7=13),(Grundtoleranzen!R61),IF(AND($F$11="S",$F$7=14),(Grundtoleranzen!R61),IF(AND($F$11="S",$F$7=15),(Grundtoleranzen!R61),IF(AND($F$11="S",$F$7=16),(Grundtoleranzen!R61),IF(AND($F$11="S",$F$7=17),(Grundtoleranzen!R61),IF(AND($F$11="S",$F$7=18),(Grundtoleranzen!R61),"Error"))))))))))))))))))</f>
        <v>#REF!</v>
      </c>
      <c r="W29" s="70" t="e">
        <f>IF(AND($F$11="T",$F$7=1),(Grundtoleranzen!S61),IF(AND($F$11="T",$F$7=2),(Grundtoleranzen!S61),IF(AND($F$11="T",$F$7=3),(Grundtoleranzen!S61)+Grundtoleranzen!$Z61,IF(AND($F$11="T",$F$7=4),(Grundtoleranzen!S61)+Grundtoleranzen!$AA61,IF(AND($F$11="T",$F$7=5),(Grundtoleranzen!S61)+Grundtoleranzen!$AB61,IF(AND($F$11="T",$F$7=6),(Grundtoleranzen!S61)+Grundtoleranzen!$AC61,IF(AND($F$11="T",$F$7=7),(Grundtoleranzen!S61)+Grundtoleranzen!$AD61,IF(AND($F$11="T",$F$7=8),(Grundtoleranzen!S61),IF(AND($F$11="T",$F$7=9),(Grundtoleranzen!S61),IF(AND($F$11="T",$F$7=10),(Grundtoleranzen!S61),IF(AND($F$11="T",$F$7=11),(Grundtoleranzen!S61),IF(AND($F$11="T",$F$7=12),(Grundtoleranzen!S61),IF(AND($F$11="T",$F$7=13),(Grundtoleranzen!S61),IF(AND($F$11="T",$F$7=14),(Grundtoleranzen!S61),IF(AND($F$11="T",$F$7=15),(Grundtoleranzen!S61),IF(AND($F$11="T",$F$7=16),(Grundtoleranzen!S61),IF(AND($F$11="T",$F$7=17),(Grundtoleranzen!S61),IF(AND($F$11="T",$F$7=18),(Grundtoleranzen!S61),"Error"))))))))))))))))))</f>
        <v>#REF!</v>
      </c>
      <c r="X29" s="70" t="e">
        <f>IF(AND($F$11="U",$F$7=1),(Grundtoleranzen!T61),IF(AND($F$11="U",$F$7=2),(Grundtoleranzen!T61),IF(AND($F$11="U",$F$7=3),(Grundtoleranzen!T61)+Grundtoleranzen!$Z61,IF(AND($F$11="U",$F$7=4),(Grundtoleranzen!T61)+Grundtoleranzen!$AA61,IF(AND($F$11="U",$F$7=5),(Grundtoleranzen!T61)+Grundtoleranzen!$AB61,IF(AND($F$11="U",$F$7=6),(Grundtoleranzen!T61)+Grundtoleranzen!$AC61,IF(AND($F$11="U",$F$7=7),(Grundtoleranzen!T61)+Grundtoleranzen!$AD61,IF(AND($F$11="U",$F$7=8),(Grundtoleranzen!T61),IF(AND($F$11="U",$F$7=9),(Grundtoleranzen!T61),IF(AND($F$11="U",$F$7=10),(Grundtoleranzen!T61),IF(AND($F$11="U",$F$7=11),(Grundtoleranzen!T61),IF(AND($F$11="U",$F$7=12),(Grundtoleranzen!T61),IF(AND($F$11="U",$F$7=13),(Grundtoleranzen!T61),IF(AND($F$11="U",$F$7=14),(Grundtoleranzen!T61),IF(AND($F$11="U",$F$7=15),(Grundtoleranzen!T61),IF(AND($F$11="U",$F$7=16),(Grundtoleranzen!T61),IF(AND($F$11="U",$F$7=17),(Grundtoleranzen!T61),IF(AND($F$11="U",$F$7=18),(Grundtoleranzen!T61),"Error"))))))))))))))))))</f>
        <v>#REF!</v>
      </c>
      <c r="Y29" s="70" t="e">
        <f>IF(AND($F$11="X",$F$7=1),(Grundtoleranzen!U61),IF(AND($F$11="X",$F$7=2),(Grundtoleranzen!U61),IF(AND($F$11="X",$F$7=3),(Grundtoleranzen!U61)+Grundtoleranzen!$Z61,IF(AND($F$11="X",$F$7=4),(Grundtoleranzen!U61)+Grundtoleranzen!$AA61,IF(AND($F$11="X",$F$7=5),(Grundtoleranzen!U61)+Grundtoleranzen!$AB61,IF(AND($F$11="X",$F$7=6),(Grundtoleranzen!U61)+Grundtoleranzen!$AC61,IF(AND($F$11="X",$F$7=7),(Grundtoleranzen!U61)+Grundtoleranzen!$AD61,IF(AND($F$11="X",$F$7=8),(Grundtoleranzen!U61)+Grundtoleranzen!$AE61,IF(AND($F$11="X",$F$7=9),(Grundtoleranzen!U61),IF(AND($F$11="X",$F$7=10),(Grundtoleranzen!U61),IF(AND($F$11="X",$F$7=11),(Grundtoleranzen!U61),IF(AND($F$11="X",$F$7=12),(Grundtoleranzen!U61),IF(AND($F$11="X",$F$7=13),(Grundtoleranzen!U61),IF(AND($F$11="X",$F$7=14),(Grundtoleranzen!U61),IF(AND($F$11="X",$F$7=15),(Grundtoleranzen!U61),IF(AND($F$11="X",$F$7=16),(Grundtoleranzen!U61),IF(AND($F$11="X",$F$7=17),(Grundtoleranzen!U61),IF(AND($F$11="X",$F$7=18),(Grundtoleranzen!U61),"Error"))))))))))))))))))</f>
        <v>#REF!</v>
      </c>
      <c r="Z29" s="70" t="e">
        <f>IF(AND($F$11="Z",$F$7=1),(Grundtoleranzen!V61),IF(AND($F$11="Z",$F$7=2),(Grundtoleranzen!V61),IF(AND($F$11="Z",$F$7=3),(Grundtoleranzen!V61)+Grundtoleranzen!$Z61,IF(AND($F$11="Z",$F$7=4),(Grundtoleranzen!V61)+Grundtoleranzen!$AA61,IF(AND($F$11="Z",$F$7=5),(Grundtoleranzen!V61)+Grundtoleranzen!$AB61,IF(AND($F$11="Z",$F$7=6),(Grundtoleranzen!V61)+Grundtoleranzen!$AC61,IF(AND($F$11="Z",$F$7=7),(Grundtoleranzen!V61)+Grundtoleranzen!$AD61,IF(AND($F$11="Z",$F$7=8),(Grundtoleranzen!V61),IF(AND($F$11="Z",$F$7=9),(Grundtoleranzen!V61),IF(AND($F$11="Z",$F$7=10),(Grundtoleranzen!V61),IF(AND($F$11="Z",$F$7=11),(Grundtoleranzen!V61),IF(AND($F$11="Z",$F$7=12),(Grundtoleranzen!V61),IF(AND($F$11="Z",$F$7=13),(Grundtoleranzen!V61),IF(AND($F$11="Z",$F$7=14),(Grundtoleranzen!V61),IF(AND($F$11="Z",$F$7=15),(Grundtoleranzen!V61),IF(AND($F$11="Z",$F$7=16),(Grundtoleranzen!V61),IF(AND($F$11="Z",$F$7=17),(Grundtoleranzen!V61),IF(AND($F$11="Z",$F$7=18),(Grundtoleranzen!V61),"Error"))))))))))))))))))</f>
        <v>#REF!</v>
      </c>
      <c r="AA29" s="70" t="e">
        <f>IF(AND($F$11="ZA",$F$7=1),(Grundtoleranzen!W61),IF(AND($F$11="ZA",$F$7=2),(Grundtoleranzen!W61),IF(AND($F$11="ZA",$F$7=3),(Grundtoleranzen!W61)+Grundtoleranzen!$Z61,IF(AND($F$11="ZA",$F$7=4),(Grundtoleranzen!W61)+Grundtoleranzen!$AA61,IF(AND($F$11="ZA",$F$7=5),(Grundtoleranzen!W61)+Grundtoleranzen!$AB61,IF(AND($F$11="ZA",$F$7=6),(Grundtoleranzen!W61)+Grundtoleranzen!$AC61,IF(AND($F$11="ZA",$F$7=7),(Grundtoleranzen!W61)+Grundtoleranzen!$AD61,IF(AND($F$11="ZA",$F$7=8),(Grundtoleranzen!W61),IF(AND($F$11="ZA",$F$7=9),(Grundtoleranzen!W61),IF(AND($F$11="ZA",$F$7=10),(Grundtoleranzen!W61),IF(AND($F$11="ZA",$F$7=11),(Grundtoleranzen!W61),IF(AND($F$11="ZA",$F$7=12),(Grundtoleranzen!W61),IF(AND($F$11="ZA",$F$7=13),(Grundtoleranzen!W61),IF(AND($F$11="ZA",$F$7=14),(Grundtoleranzen!W61),IF(AND($F$11="ZA",$F$7=15),(Grundtoleranzen!W61),IF(AND($F$11="ZA",$F$7=16),(Grundtoleranzen!W61),IF(AND($F$11="ZA",$F$7=17),(Grundtoleranzen!W61),IF(AND($F$11="ZA",$F$7=18),(Grundtoleranzen!W61),"Error"))))))))))))))))))</f>
        <v>#REF!</v>
      </c>
      <c r="AB29" s="70" t="e">
        <f>IF(AND($F$11="ZB",$F$7=1),(Grundtoleranzen!X61),IF(AND($F$11="ZB",$F$7=2),(Grundtoleranzen!X61),IF(AND($F$11="ZB",$F$7=3),(Grundtoleranzen!X61)+Grundtoleranzen!$Z61,IF(AND($F$11="ZB",$F$7=4),(Grundtoleranzen!X61)+Grundtoleranzen!$AA61,IF(AND($F$11="ZB",$F$7=5),(Grundtoleranzen!X61)+Grundtoleranzen!$AB61,IF(AND($F$11="ZB",$F$7=6),(Grundtoleranzen!X61)+Grundtoleranzen!$AC61,IF(AND($F$11="ZB",$F$7=7),(Grundtoleranzen!X61)+Grundtoleranzen!$AD61,IF(AND($F$11="ZB",$F$7=8),(Grundtoleranzen!X61),IF(AND($F$11="ZB",$F$7=9),(Grundtoleranzen!X61),IF(AND($F$11="ZB",$F$7=10),(Grundtoleranzen!X61),IF(AND($F$11="ZB",$F$7=11),(Grundtoleranzen!X61),IF(AND($F$11="ZB",$F$7=12),(Grundtoleranzen!X61),IF(AND($F$11="ZB",$F$7=13),(Grundtoleranzen!X61),IF(AND($F$11="ZB",$F$7=14),(Grundtoleranzen!X61),IF(AND($F$11="ZB",$F$7=15),(Grundtoleranzen!X61),IF(AND($F$11="ZB",$F$7=16),(Grundtoleranzen!X61),IF(AND($F$11="ZB",$F$7=17),(Grundtoleranzen!X61),IF(AND($F$11="ZB",$F$7=18),(Grundtoleranzen!X61),"Error"))))))))))))))))))</f>
        <v>#REF!</v>
      </c>
      <c r="AC29" s="70" t="e">
        <f>IF(AND($F$11="ZC",$F$7=1),(Grundtoleranzen!Y61),IF(AND($F$11="ZC",$F$7=2),(Grundtoleranzen!Y61),IF(AND($F$11="ZC",$F$7=3),(Grundtoleranzen!Y61)+Grundtoleranzen!$Z61,IF(AND($F$11="ZC",$F$7=4),(Grundtoleranzen!Y61)+Grundtoleranzen!$AA61,IF(AND($F$11="ZC",$F$7=5),(Grundtoleranzen!Y61)+Grundtoleranzen!$AB61,IF(AND($F$11="ZC",$F$7=6),(Grundtoleranzen!Y61)+Grundtoleranzen!$AC61,IF(AND($F$11="ZC",$F$7=7),(Grundtoleranzen!Y61)+Grundtoleranzen!$AD61,IF(AND($F$11="ZC",$F$7=8),(Grundtoleranzen!Y61),IF(AND($F$11="ZC",$F$7=9),(Grundtoleranzen!Y61),IF(AND($F$11="ZC",$F$7=10),(Grundtoleranzen!Y61),IF(AND($F$11="ZC",$F$7=11),(Grundtoleranzen!Y61),IF(AND($F$11="ZC",$F$7=12),(Grundtoleranzen!Y61),IF(AND($F$11="ZC",$F$7=13),(Grundtoleranzen!Y61),IF(AND($F$11="ZC",$F$7=14),(Grundtoleranzen!Y61),IF(AND($F$11="ZC",$F$7=15),(Grundtoleranzen!Y61),IF(AND($F$11="ZC",$F$7=16),(Grundtoleranzen!Y61),IF(AND($F$11="ZC",$F$7=17),(Grundtoleranzen!Y61),IF(AND($F$11="ZC",$F$7=18),(Grundtoleranzen!Y61),"Error"))))))))))))))))))</f>
        <v>#REF!</v>
      </c>
    </row>
    <row r="30" spans="1:29" ht="16.5" thickBot="1" x14ac:dyDescent="0.3">
      <c r="D30" s="33" t="s">
        <v>3</v>
      </c>
      <c r="E30" s="93"/>
      <c r="F30" s="86" t="s">
        <v>34</v>
      </c>
      <c r="G30" s="366" t="str">
        <f>IFERROR(E4+(G28/1000),"von mindestens 25mm")</f>
        <v>von mindestens 25mm</v>
      </c>
      <c r="H30" s="367"/>
      <c r="K30" s="348" t="s">
        <v>119</v>
      </c>
      <c r="L30" s="276"/>
      <c r="M30" s="276"/>
      <c r="N30" s="349"/>
      <c r="P30" s="274" t="s">
        <v>119</v>
      </c>
      <c r="Q30" s="275"/>
      <c r="R30" s="275"/>
      <c r="S30" s="275"/>
      <c r="T30" s="275"/>
      <c r="U30" s="275"/>
      <c r="V30" s="275"/>
      <c r="W30" s="275"/>
      <c r="X30" s="275"/>
      <c r="Y30" s="275"/>
      <c r="Z30" s="275"/>
      <c r="AA30" s="275"/>
      <c r="AB30" s="275"/>
      <c r="AC30" s="277"/>
    </row>
    <row r="31" spans="1:29" ht="16.5" thickBot="1" x14ac:dyDescent="0.3">
      <c r="D31" s="89" t="s">
        <v>4</v>
      </c>
      <c r="E31" s="87"/>
      <c r="F31" s="88" t="s">
        <v>8</v>
      </c>
      <c r="G31" s="366" t="str">
        <f>IFERROR(E4+(G29/1000),"berechnet werden!")</f>
        <v>berechnet werden!</v>
      </c>
      <c r="H31" s="367"/>
      <c r="K31" s="80" t="s">
        <v>192</v>
      </c>
      <c r="L31" s="81" t="e">
        <f>F15+L33</f>
        <v>#REF!</v>
      </c>
      <c r="M31" s="80" t="s">
        <v>191</v>
      </c>
      <c r="N31" s="81" t="e">
        <f>F15+N33</f>
        <v>#REF!</v>
      </c>
      <c r="P31" s="78" t="e">
        <f t="shared" ref="P31:AC31" si="0">IF(AND($E$4&gt;0,$E$4&lt;=3),P5,IF(AND($E$4&gt;3,$E$4&lt;=6),P6,IF(AND($E$4&gt;6,$E$4&lt;=10),P7,IF(AND($E$4&gt;10,$E$4&lt;=14),P8,IF(AND($E$4&gt;14,$E$4&lt;=18),P9,IF(AND($E$4&gt;18,$E$4&lt;=24),P10,IF(AND($E$4&gt;24,$E$4&lt;=30),P11,IF(AND($E$4&gt;30,$E$4&lt;=40),P12,IF(AND($E$4&gt;40,$E$4&lt;=50),P13,IF(AND($E$4&gt;50,$E$4&lt;=65),P14,IF(AND($E$4&gt;65,$E$4&lt;=80),P15,IF(AND($E$4&gt;80,$E$4&lt;=100),P16,IF(AND($E$4&gt;100,$E$4&lt;=120),P17,IF(AND($E$4&gt;120,$E$4&lt;=140),P18,IF(AND($E$4&gt;140,$E$4&lt;=160),P19,IF(AND($E$4&gt;160,$E$4&lt;=180),P20,IF(AND($E$4&gt;180,$E$4&lt;=200),P21,IF(AND($E$4&gt;200,$E$4&lt;=225),P22,IF(AND($E$4&gt;225,$E$4&lt;=250),P23,IF(AND($E$4&gt;250,$E$4&lt;=280),P24,IF(AND($E$4&gt;280,$E$4&lt;=315),P25,IF(AND($E$4&gt;315,$E$4&lt;=355),P26,IF(AND($E$4&gt;355,$E$4&lt;=400),P27,IF(AND($E$4&gt;400,$E$4&lt;=450),P28,IF(AND($E$4&gt;450,$E$4&lt;=500),P29,)))))))))))))))))))))))))</f>
        <v>#REF!</v>
      </c>
      <c r="Q31" s="73" t="e">
        <f t="shared" si="0"/>
        <v>#REF!</v>
      </c>
      <c r="R31" s="73" t="e">
        <f t="shared" si="0"/>
        <v>#REF!</v>
      </c>
      <c r="S31" s="73" t="e">
        <f t="shared" si="0"/>
        <v>#REF!</v>
      </c>
      <c r="T31" s="73" t="e">
        <f t="shared" si="0"/>
        <v>#REF!</v>
      </c>
      <c r="U31" s="73" t="e">
        <f t="shared" si="0"/>
        <v>#REF!</v>
      </c>
      <c r="V31" s="73" t="e">
        <f t="shared" si="0"/>
        <v>#REF!</v>
      </c>
      <c r="W31" s="73" t="e">
        <f t="shared" si="0"/>
        <v>#REF!</v>
      </c>
      <c r="X31" s="73" t="e">
        <f t="shared" si="0"/>
        <v>#REF!</v>
      </c>
      <c r="Y31" s="73" t="e">
        <f t="shared" si="0"/>
        <v>#REF!</v>
      </c>
      <c r="Z31" s="73" t="e">
        <f t="shared" si="0"/>
        <v>#REF!</v>
      </c>
      <c r="AA31" s="73" t="e">
        <f t="shared" si="0"/>
        <v>#REF!</v>
      </c>
      <c r="AB31" s="73" t="e">
        <f t="shared" si="0"/>
        <v>#REF!</v>
      </c>
      <c r="AC31" s="73" t="e">
        <f t="shared" si="0"/>
        <v>#REF!</v>
      </c>
    </row>
    <row r="32" spans="1:29" ht="16.5" thickBot="1" x14ac:dyDescent="0.3">
      <c r="D32" s="90" t="s">
        <v>5</v>
      </c>
      <c r="E32" s="91"/>
      <c r="F32" s="92" t="s">
        <v>35</v>
      </c>
      <c r="G32" s="370" t="e">
        <f>F15</f>
        <v>#REF!</v>
      </c>
      <c r="H32" s="371"/>
      <c r="K32" s="348" t="s">
        <v>190</v>
      </c>
      <c r="L32" s="276"/>
      <c r="M32" s="276"/>
      <c r="N32" s="349"/>
      <c r="P32" s="274" t="s">
        <v>190</v>
      </c>
      <c r="Q32" s="275"/>
      <c r="R32" s="275"/>
      <c r="S32" s="275"/>
      <c r="T32" s="275"/>
      <c r="U32" s="275"/>
      <c r="V32" s="275"/>
      <c r="W32" s="275"/>
      <c r="X32" s="275"/>
      <c r="Y32" s="275"/>
      <c r="Z32" s="275"/>
      <c r="AA32" s="275"/>
      <c r="AB32" s="275"/>
      <c r="AC32" s="277"/>
    </row>
    <row r="33" spans="4:29" ht="16.5" thickBot="1" x14ac:dyDescent="0.3">
      <c r="D33" s="359" t="s">
        <v>1</v>
      </c>
      <c r="E33" s="253"/>
      <c r="F33" s="95" t="s">
        <v>36</v>
      </c>
      <c r="G33" s="362" t="str">
        <f>IFERROR(IF(AND(F12="c"),L78,IF(AND(F12="d"),L78,IF(AND(F12="e"),L78,IF(AND(F12="f"),L78,IF(AND(F12="g"),L78,IF(AND(F12="h"),L78,IF(AND(F12="js"),N78,IF(AND(F12="j"),P78,IF(AND(F12="k"),Q78,R78))))))))),"Grundabmaß t kann")</f>
        <v>Grundabmaß t kann</v>
      </c>
      <c r="H33" s="363"/>
      <c r="K33" s="80" t="s">
        <v>192</v>
      </c>
      <c r="L33" s="81" t="e">
        <f>IF(AND($E$4&gt;0,$E$4&lt;=3),L5,IF(AND($E$4&gt;3,$E$4&lt;=6),L6,IF(AND($E$4&gt;6,$E$4&lt;=10),L7,IF(AND($E$4&gt;10,$E$4&lt;=14),L8,IF(AND($E$4&gt;14,$E$4&lt;=18),L9,IF(AND($E$4&gt;18,$E$4&lt;=24),L10,IF(AND($E$4&gt;24,$E$4&lt;=30),L11,IF(AND($E$4&gt;30,$E$4&lt;=40),L12,IF(AND($E$4&gt;40,$E$4&lt;=50),L13,IF(AND($E$4&gt;50,$E$4&lt;=65),L14,IF(AND($E$4&gt;65,$E$4&lt;=80),L15,IF(AND($E$4&gt;80,$E$4&lt;=100),L16,IF(AND($E$4&gt;100,$E$4&lt;=120),L17,IF(AND($E$4&gt;120,$E$4&lt;=140),L18,IF(AND($E$4&gt;140,$E$4&lt;=160),L19,IF(AND($E$4&gt;160,$E$4&lt;=180),L20,IF(AND($E$4&gt;180,$E$4&lt;=200),L21,IF(AND($E$4&gt;200,$E$4&lt;=225),L22,IF(AND($E$4&gt;225,$E$4&lt;=250),L23,IF(AND($E$4&gt;250,$E$4&lt;=280),L24,IF(AND($E$4&gt;280,$E$4&lt;=315),L25,IF(AND($E$4&gt;315,$E$4&lt;=355),L26,IF(AND($E$4&gt;355,$E$4&lt;=400),L27,IF(AND($E$4&gt;400,$E$4&lt;=450),L28,IF(AND($E$4&gt;450,$E$4&lt;=500),L29)))))))))))))))))))))))))</f>
        <v>#REF!</v>
      </c>
      <c r="M33" s="80" t="s">
        <v>191</v>
      </c>
      <c r="N33" s="81" t="e">
        <f>IF(AND(E4&gt;0,E4&lt;=3),N5,IF(AND(E4&gt;3,E4&lt;=6),N6,IF(AND(E4&gt;6,E4&lt;=10),N7,IF(AND(E4&gt;10,E4&lt;=18),N8,IF(AND(E4&gt;18,E4&lt;=30),N9,IF(AND(E4&gt;30,E4&lt;=50),N10,IF(AND(E4&gt;50,E4&lt;=80),N11,IF(AND(E4&gt;80,E4&lt;=120),N12,IF(AND(E4&gt;120,E4&lt;=180),N13,IF(AND(E4&gt;180,E4&lt;=250),N14,IF(AND(E4&gt;250,E4&lt;=315),N15,IF(AND(E4&gt;315,E4&lt;=400),N16,IF(AND(E4&gt;400,E4&lt;=500),N17,IF(AND(E4&gt;500,E4&lt;=630),N18,IF(AND(E4&gt;630,E4&lt;=800),N19,IF(AND(E4&gt;800,E4&lt;=1000),N20,IF(AND(E4&gt;1000,E4&lt;=1250),N21,IF(AND(E4&gt;1250,E4&lt;=1600),N22,IF(AND(E4&gt;1600,E4&lt;=2000),N23,IF(AND(E4&gt;200,E4&lt;=2500),N24,IF(AND(E4&gt;2500,E4&lt;=3150),N25)))))))))))))))))))))</f>
        <v>#REF!</v>
      </c>
      <c r="P33" s="73" t="e">
        <f>P31-$F$15</f>
        <v>#REF!</v>
      </c>
      <c r="Q33" s="73" t="e">
        <f t="shared" ref="Q33:AC33" si="1">Q31-$F$15</f>
        <v>#REF!</v>
      </c>
      <c r="R33" s="73" t="e">
        <f>R31-$F$15</f>
        <v>#REF!</v>
      </c>
      <c r="S33" s="73" t="e">
        <f t="shared" si="1"/>
        <v>#REF!</v>
      </c>
      <c r="T33" s="73" t="e">
        <f t="shared" si="1"/>
        <v>#REF!</v>
      </c>
      <c r="U33" s="73" t="e">
        <f t="shared" si="1"/>
        <v>#REF!</v>
      </c>
      <c r="V33" s="73" t="e">
        <f t="shared" si="1"/>
        <v>#REF!</v>
      </c>
      <c r="W33" s="73" t="e">
        <f t="shared" si="1"/>
        <v>#REF!</v>
      </c>
      <c r="X33" s="73" t="e">
        <f t="shared" si="1"/>
        <v>#REF!</v>
      </c>
      <c r="Y33" s="73" t="e">
        <f t="shared" si="1"/>
        <v>#REF!</v>
      </c>
      <c r="Z33" s="73" t="e">
        <f t="shared" si="1"/>
        <v>#REF!</v>
      </c>
      <c r="AA33" s="73" t="e">
        <f t="shared" si="1"/>
        <v>#REF!</v>
      </c>
      <c r="AB33" s="73" t="e">
        <f t="shared" si="1"/>
        <v>#REF!</v>
      </c>
      <c r="AC33" s="73" t="e">
        <f t="shared" si="1"/>
        <v>#REF!</v>
      </c>
    </row>
    <row r="34" spans="4:29" ht="15.75" x14ac:dyDescent="0.25">
      <c r="D34" s="360" t="s">
        <v>2</v>
      </c>
      <c r="E34" s="254"/>
      <c r="F34" s="86" t="s">
        <v>37</v>
      </c>
      <c r="G34" s="364" t="str">
        <f>IFERROR(IF(AND(F12="c"),L80,IF(AND(F12="d"),L80,IF(AND(F12="e"),L80,IF(AND(F12="f"),L80,IF(AND(F12="g"),L80,IF(AND(F12="h"),L80,IF(AND(F12="js"),N80,IF(AND(F12="j"),P80,IF(AND(F12="k"),Q80,R80))))))))),"Grundabmaß t kann")</f>
        <v>Grundabmaß t kann</v>
      </c>
      <c r="H34" s="365"/>
    </row>
    <row r="35" spans="4:29" ht="15.75" x14ac:dyDescent="0.25">
      <c r="D35" s="360" t="s">
        <v>3</v>
      </c>
      <c r="E35" s="254"/>
      <c r="F35" s="86" t="s">
        <v>38</v>
      </c>
      <c r="G35" s="366" t="str">
        <f>IFERROR(E4+(G33/1000),"von mindestens 25mm")</f>
        <v>von mindestens 25mm</v>
      </c>
      <c r="H35" s="367"/>
    </row>
    <row r="36" spans="4:29" ht="15.75" x14ac:dyDescent="0.25">
      <c r="D36" s="360" t="s">
        <v>4</v>
      </c>
      <c r="E36" s="254"/>
      <c r="F36" s="88" t="s">
        <v>9</v>
      </c>
      <c r="G36" s="366" t="str">
        <f>IFERROR(E4+(G34/1000),"berechnet werden!")</f>
        <v>berechnet werden!</v>
      </c>
      <c r="H36" s="367"/>
    </row>
    <row r="37" spans="4:29" ht="16.5" thickBot="1" x14ac:dyDescent="0.3">
      <c r="D37" s="361" t="s">
        <v>5</v>
      </c>
      <c r="E37" s="255"/>
      <c r="F37" s="92" t="s">
        <v>10</v>
      </c>
      <c r="G37" s="370" t="e">
        <f>F18</f>
        <v>#REF!</v>
      </c>
      <c r="H37" s="371"/>
    </row>
    <row r="49" spans="8:18" ht="15.75" thickBot="1" x14ac:dyDescent="0.3">
      <c r="H49" t="s">
        <v>184</v>
      </c>
    </row>
    <row r="50" spans="8:18" ht="15.75" thickBot="1" x14ac:dyDescent="0.3">
      <c r="H50" s="353" t="s">
        <v>120</v>
      </c>
      <c r="I50" s="354"/>
      <c r="K50" s="350" t="s">
        <v>194</v>
      </c>
      <c r="L50" s="351"/>
      <c r="M50" s="351"/>
      <c r="N50" s="352"/>
      <c r="P50" s="274" t="s">
        <v>198</v>
      </c>
      <c r="Q50" s="275"/>
      <c r="R50" s="277"/>
    </row>
    <row r="51" spans="8:18" ht="15.75" thickBot="1" x14ac:dyDescent="0.3">
      <c r="H51" s="35" t="s">
        <v>69</v>
      </c>
      <c r="I51" s="38" t="e">
        <f>IF(AND(F$8=1),Grundtoleranzen!B6,IF(AND(F$8=2),Grundtoleranzen!C6,IF(AND(F$8=3),Grundtoleranzen!D6,IF(AND(F$8=4),Grundtoleranzen!E6,IF(AND(F$8=5),Grundtoleranzen!F6,IF(AND(F$8=6),Grundtoleranzen!G6,IF(AND(F$8=7),Grundtoleranzen!H6,IF(AND(F$8=8),Grundtoleranzen!I6,IF(AND(F$8=9),Grundtoleranzen!J6,IF(AND(F$8=10),Grundtoleranzen!K6,IF(AND(F$8=11),Grundtoleranzen!L6,IF(AND(F$8=12),Grundtoleranzen!M6,IF(AND(F$8=13),Grundtoleranzen!N6,IF(AND(F$8=14),Grundtoleranzen!O6,IF(AND(F$8=15),Grundtoleranzen!P6,IF(AND(F$8=16),Grundtoleranzen!Q6,IF(AND(F$8=17),Grundtoleranzen!R6,IF(AND(F$8=18),Grundtoleranzen!S6))))))))))))))))))</f>
        <v>#REF!</v>
      </c>
      <c r="K51" s="295" t="s">
        <v>195</v>
      </c>
      <c r="L51" s="297"/>
      <c r="M51" s="284" t="s">
        <v>196</v>
      </c>
      <c r="N51" s="286"/>
      <c r="P51" s="69" t="s">
        <v>160</v>
      </c>
      <c r="Q51" s="84" t="s">
        <v>161</v>
      </c>
      <c r="R51" s="69" t="s">
        <v>199</v>
      </c>
    </row>
    <row r="52" spans="8:18" x14ac:dyDescent="0.25">
      <c r="H52" s="24" t="s">
        <v>70</v>
      </c>
      <c r="I52" s="38" t="e">
        <f>IF(AND(F$8=1),Grundtoleranzen!B7,IF(AND(F$8=2),Grundtoleranzen!C7,IF(AND(F$8=3),Grundtoleranzen!D7,IF(AND(F$8=4),Grundtoleranzen!E7,IF(AND(F$8=5),Grundtoleranzen!F7,IF(AND(F$8=6),Grundtoleranzen!G7,IF(AND(F$8=7),Grundtoleranzen!H7,IF(AND(F$8=8),Grundtoleranzen!I7,IF(AND(F$8=9),Grundtoleranzen!J7,IF(AND(F$8=10),Grundtoleranzen!K7,IF(AND(F$8=11),Grundtoleranzen!L7,IF(AND(F$8=12),Grundtoleranzen!M7,IF(AND(F$8=13),Grundtoleranzen!N7,IF(AND(F$8=14),Grundtoleranzen!O7,IF(AND(F$8=15),Grundtoleranzen!P7,IF(AND(F$8=16),Grundtoleranzen!Q7,IF(AND(F$8=17),Grundtoleranzen!R7,IF(AND(F$8=18),Grundtoleranzen!S7))))))))))))))))))</f>
        <v>#REF!</v>
      </c>
      <c r="K52" s="50" t="s">
        <v>47</v>
      </c>
      <c r="L52" s="68" t="e">
        <f>IF(AND(F$12="c"),Grundtoleranzen!B70,IF(AND(F$12="d"),Grundtoleranzen!C70,IF(AND(F$12="e"),Grundtoleranzen!D70,IF(AND(F$12="f"),Grundtoleranzen!E70,IF(AND(F$12="g"),Grundtoleranzen!F70,IF(AND(F$12="h"),Grundtoleranzen!G70))))))</f>
        <v>#REF!</v>
      </c>
      <c r="M52" s="35" t="s">
        <v>69</v>
      </c>
      <c r="N52" s="70" t="e">
        <f>IF(AND(F$12="js",F$8=1),(Grundtoleranzen!B6)/2,IF(AND(F$12="js",F$8=2),(Grundtoleranzen!C6)/2,IF(AND(F$12="js",F$8=3),(Grundtoleranzen!D6)/2,IF(AND(F$12="js",F$8=4),(Grundtoleranzen!E6)/2,IF(AND(F$12="js",F$8=5),(Grundtoleranzen!F6)/2,IF(AND(F$12="js",F$8=6),(Grundtoleranzen!G6)/2,IF(AND(F$12="js",F$8=7),(Grundtoleranzen!H6)/2,IF(AND(F$12="js",F$8=8),(Grundtoleranzen!I6)/2,IF(AND(F$12="js",F$8=9),(Grundtoleranzen!J6)/2,IF(AND(F$12="js",F$8=10),(Grundtoleranzen!K6)/2,IF(AND(F$12="js",F$8=11),(Grundtoleranzen!L6)/2,IF(AND(F$12="js",F$8=12),(Grundtoleranzen!M6)/2,IF(AND(F$12="js",F$8=13),(Grundtoleranzen!N6)/2,IF(AND(F$12="js",F$8=14),(Grundtoleranzen!O6)/2,IF(AND(F$12="js",F$8=15),(Grundtoleranzen!P6)/2,IF(AND(F$12="js",F$8=16),(Grundtoleranzen!Q6)/2,IF(AND(F$12="js",F$8=17),(Grundtoleranzen!R6)/2,IF(AND(F$12="js",F$8=18),(Grundtoleranzen!S6)/2))))))))))))))))))*-1</f>
        <v>#REF!</v>
      </c>
      <c r="P52" s="70" t="e">
        <f>IF(AND(F$12="j",F$8=5),(Grundtoleranzen!I70),IF(AND(F$12="j",F$8=6),(Grundtoleranzen!I70),IF(AND(F$12="j",F$8=7),(Grundtoleranzen!J70),"Nur IT5-7")))</f>
        <v>#REF!</v>
      </c>
      <c r="Q52" s="70" t="e">
        <f>IF(AND($F$12="k",$F$8=1),"Nur IT 4-18",IF(AND($F$12="k",$F$8=2),"Nur IT 4-18",IF(AND($F$12="k",$F$8=3),"Nur IT 4-18",IF(AND($F$12="k",$F$8=4),(Grundtoleranzen!K70),IF(AND($F$12="k",$F$8=5),(Grundtoleranzen!K70),IF(AND($F$12="k",$F$8=6),(Grundtoleranzen!K70),(Grundtoleranzen!L70)))))))</f>
        <v>#REF!</v>
      </c>
      <c r="R52" s="70" t="e">
        <f>IF(AND(F$12="m"),Grundtoleranzen!M70,IF(AND(F$12="n"),Grundtoleranzen!N70,IF(AND(F$12="p"),Grundtoleranzen!O70,IF(AND(F$12="r"),Grundtoleranzen!P70,IF(AND(F$12="s"),Grundtoleranzen!Q70,IF(AND(F$12="t"),Grundtoleranzen!R70,IF(AND(F$12="u"),Grundtoleranzen!S70,IF(AND(F$12="x"),Grundtoleranzen!T70,IF(AND(F$12="z"),Grundtoleranzen!U70,IF(AND(F$12="za"),Grundtoleranzen!V70,IF(AND(F$12="zb"),Grundtoleranzen!W70,IF(AND(F$12="zc"),Grundtoleranzen!X70))))))))))))</f>
        <v>#REF!</v>
      </c>
    </row>
    <row r="53" spans="8:18" x14ac:dyDescent="0.25">
      <c r="H53" s="24" t="s">
        <v>71</v>
      </c>
      <c r="I53" s="38" t="e">
        <f>IF(AND(F$8=1),Grundtoleranzen!B8,IF(AND(F$8=2),Grundtoleranzen!C8,IF(AND(F$8=3),Grundtoleranzen!D8,IF(AND(F$8=4),Grundtoleranzen!E8,IF(AND(F$8=5),Grundtoleranzen!F8,IF(AND(F$8=6),Grundtoleranzen!G8,IF(AND(F$8=7),Grundtoleranzen!H8,IF(AND(F$8=8),Grundtoleranzen!I8,IF(AND(F$8=9),Grundtoleranzen!J8,IF(AND(F$8=10),Grundtoleranzen!K8,IF(AND(F$8=11),Grundtoleranzen!L8,IF(AND(F$8=12),Grundtoleranzen!M8,IF(AND(F$8=13),Grundtoleranzen!N8,IF(AND(F$8=14),Grundtoleranzen!O8,IF(AND(F$8=15),Grundtoleranzen!P8,IF(AND(F$8=16),Grundtoleranzen!Q8,IF(AND(F$8=17),Grundtoleranzen!R8,IF(AND(F$8=18),Grundtoleranzen!S8))))))))))))))))))</f>
        <v>#REF!</v>
      </c>
      <c r="K53" s="24" t="s">
        <v>70</v>
      </c>
      <c r="L53" s="68" t="e">
        <f>IF(AND(F$12="c"),Grundtoleranzen!B71,IF(AND(F$12="d"),Grundtoleranzen!C71,IF(AND(F$12="e"),Grundtoleranzen!D71,IF(AND(F$12="f"),Grundtoleranzen!E71,IF(AND(F$12="g"),Grundtoleranzen!F71,IF(AND(F$12="h"),Grundtoleranzen!G71))))))</f>
        <v>#REF!</v>
      </c>
      <c r="M53" s="24" t="s">
        <v>70</v>
      </c>
      <c r="N53" s="70" t="e">
        <f>IF(AND(F$12="js",F$8=1),(Grundtoleranzen!B7)/2,IF(AND(F$12="js",F$8=2),(Grundtoleranzen!C7)/2,IF(AND(F$12="js",F$8=3),(Grundtoleranzen!D7)/2,IF(AND(F$12="js",F$8=4),(Grundtoleranzen!E7)/2,IF(AND(F$12="js",F$8=5),(Grundtoleranzen!F7)/2,IF(AND(F$12="js",F$8=6),(Grundtoleranzen!G7)/2,IF(AND(F$12="js",F$8=7),(Grundtoleranzen!H7)/2,IF(AND(F$12="js",F$8=8),(Grundtoleranzen!I7)/2,IF(AND(F$12="js",F$8=9),(Grundtoleranzen!J7)/2,IF(AND(F$12="js",F$8=10),(Grundtoleranzen!K7)/2,IF(AND(F$12="js",F$8=11),(Grundtoleranzen!L7)/2,IF(AND(F$12="js",F$8=12),(Grundtoleranzen!M7)/2,IF(AND(F$12="js",F$8=13),(Grundtoleranzen!N7)/2,IF(AND(F$12="js",F$8=14),(Grundtoleranzen!O7)/2,IF(AND(F$12="js",F$8=15),(Grundtoleranzen!P7)/2,IF(AND(F$12="js",F$8=16),(Grundtoleranzen!Q7)/2,IF(AND(F$12="js",F$8=17),(Grundtoleranzen!R7)/2,IF(AND(F$12="js",F$8=18),(Grundtoleranzen!S7)/2))))))))))))))))))*-1</f>
        <v>#REF!</v>
      </c>
      <c r="P53" s="70" t="e">
        <f>IF(AND(F$12="j",F$8=5),(Grundtoleranzen!I71),IF(AND(F$12="j",F$8=6),(Grundtoleranzen!I71),IF(AND(F$12="j",F$8=7),(Grundtoleranzen!J71),"Nur IT5-7")))</f>
        <v>#REF!</v>
      </c>
      <c r="Q53" s="70" t="e">
        <f>IF(AND($F$12="k",$F$8=1),"Nur IT 4-18",IF(AND($F$12="k",$F$8=2),"Nur IT 4-18",IF(AND($F$12="k",$F$8=3),"Nur IT 4-18",IF(AND($F$12="k",$F$8=4),(Grundtoleranzen!K71),IF(AND($F$12="k",$F$8=5),(Grundtoleranzen!K71),IF(AND($F$12="k",$F$8=6),(Grundtoleranzen!K71),(Grundtoleranzen!L71)))))))</f>
        <v>#REF!</v>
      </c>
      <c r="R53" s="70" t="e">
        <f>IF(AND(F$12="m"),Grundtoleranzen!M71,IF(AND(F$12="n"),Grundtoleranzen!N71,IF(AND(F$12="p"),Grundtoleranzen!O71,IF(AND(F$12="r"),Grundtoleranzen!P71,IF(AND(F$12="s"),Grundtoleranzen!Q71,IF(AND(F$12="t"),Grundtoleranzen!R71,IF(AND(F$12="u"),Grundtoleranzen!S71,IF(AND(F$12="x"),Grundtoleranzen!T71,IF(AND(F$12="z"),Grundtoleranzen!U71,IF(AND(F$12="za"),Grundtoleranzen!V71,IF(AND(F$12="zb"),Grundtoleranzen!W71,IF(AND(F$12="zc"),Grundtoleranzen!X71))))))))))))</f>
        <v>#REF!</v>
      </c>
    </row>
    <row r="54" spans="8:18" x14ac:dyDescent="0.25">
      <c r="H54" s="24" t="s">
        <v>72</v>
      </c>
      <c r="I54" s="38" t="e">
        <f>IF(AND(F$8=1),Grundtoleranzen!B9,IF(AND(F$8=2),Grundtoleranzen!C9,IF(AND(F$8=3),Grundtoleranzen!D9,IF(AND(F$8=4),Grundtoleranzen!E9,IF(AND(F$8=5),Grundtoleranzen!F9,IF(AND(F$8=6),Grundtoleranzen!G9,IF(AND(F$8=7),Grundtoleranzen!H9,IF(AND(F$8=8),Grundtoleranzen!I9,IF(AND(F$8=9),Grundtoleranzen!J9,IF(AND(F$8=10),Grundtoleranzen!K9,IF(AND(F$8=11),Grundtoleranzen!L9,IF(AND(F$8=12),Grundtoleranzen!M9,IF(AND(F$8=13),Grundtoleranzen!N9,IF(AND(F$8=14),Grundtoleranzen!O9,IF(AND(F$8=15),Grundtoleranzen!P9,IF(AND(F$8=16),Grundtoleranzen!Q9,IF(AND(F$8=17),Grundtoleranzen!R9,IF(AND(F$8=18),Grundtoleranzen!S9))))))))))))))))))</f>
        <v>#REF!</v>
      </c>
      <c r="K54" s="24" t="s">
        <v>71</v>
      </c>
      <c r="L54" s="68" t="e">
        <f>IF(AND(F$12="c"),Grundtoleranzen!B72,IF(AND(F$12="d"),Grundtoleranzen!C72,IF(AND(F$12="e"),Grundtoleranzen!D72,IF(AND(F$12="f"),Grundtoleranzen!E72,IF(AND(F$12="g"),Grundtoleranzen!F72,IF(AND(F$12="h"),Grundtoleranzen!G72))))))</f>
        <v>#REF!</v>
      </c>
      <c r="M54" s="24" t="s">
        <v>71</v>
      </c>
      <c r="N54" s="70" t="e">
        <f>IF(AND(F$12="js",F$8=1),(Grundtoleranzen!B8)/2,IF(AND(F$12="js",F$8=2),(Grundtoleranzen!C8)/2,IF(AND(F$12="js",F$8=3),(Grundtoleranzen!D8)/2,IF(AND(F$12="js",F$8=4),(Grundtoleranzen!E8)/2,IF(AND(F$12="js",F$8=5),(Grundtoleranzen!F8)/2,IF(AND(F$12="js",F$8=6),(Grundtoleranzen!G8)/2,IF(AND(F$12="js",F$8=7),(Grundtoleranzen!H8)/2,IF(AND(F$12="js",F$8=8),(Grundtoleranzen!I8)/2,IF(AND(F$12="js",F$8=9),(Grundtoleranzen!J8)/2,IF(AND(F$12="js",F$8=10),(Grundtoleranzen!K8)/2,IF(AND(F$12="js",F$8=11),(Grundtoleranzen!L8)/2,IF(AND(F$12="js",F$8=12),(Grundtoleranzen!M8)/2,IF(AND(F$12="js",F$8=13),(Grundtoleranzen!N8)/2,IF(AND(F$12="js",F$8=14),(Grundtoleranzen!O8)/2,IF(AND(F$12="js",F$8=15),(Grundtoleranzen!P8)/2,IF(AND(F$12="js",F$8=16),(Grundtoleranzen!Q8)/2,IF(AND(F$12="js",F$8=17),(Grundtoleranzen!R8)/2,IF(AND(F$12="js",F$8=18),(Grundtoleranzen!S8)/2))))))))))))))))))*-1</f>
        <v>#REF!</v>
      </c>
      <c r="P54" s="70" t="e">
        <f>IF(AND(F$12="j",F$8=5),(Grundtoleranzen!I72),IF(AND(F$12="j",F$8=6),(Grundtoleranzen!I72),IF(AND(F$12="j",F$8=7),(Grundtoleranzen!J72),"Nur IT5-7")))</f>
        <v>#REF!</v>
      </c>
      <c r="Q54" s="70" t="e">
        <f>IF(AND($F$12="k",$F$8=1),"Nur IT 4-18",IF(AND($F$12="k",$F$8=2),"Nur IT 4-18",IF(AND($F$12="k",$F$8=3),"Nur IT 4-18",IF(AND($F$12="k",$F$8=4),(Grundtoleranzen!K72),IF(AND($F$12="k",$F$8=5),(Grundtoleranzen!K72),IF(AND($F$12="k",$F$8=6),(Grundtoleranzen!K72),(Grundtoleranzen!L72)))))))</f>
        <v>#REF!</v>
      </c>
      <c r="R54" s="70" t="e">
        <f>IF(AND(F$12="m"),Grundtoleranzen!M72,IF(AND(F$12="n"),Grundtoleranzen!N72,IF(AND(F$12="p"),Grundtoleranzen!O72,IF(AND(F$12="r"),Grundtoleranzen!P72,IF(AND(F$12="s"),Grundtoleranzen!Q72,IF(AND(F$12="t"),Grundtoleranzen!R72,IF(AND(F$12="u"),Grundtoleranzen!S72,IF(AND(F$12="x"),Grundtoleranzen!T72,IF(AND(F$12="z"),Grundtoleranzen!U72,IF(AND(F$12="za"),Grundtoleranzen!V72,IF(AND(F$12="zb"),Grundtoleranzen!W72,IF(AND(F$12="zc"),Grundtoleranzen!X72))))))))))))</f>
        <v>#REF!</v>
      </c>
    </row>
    <row r="55" spans="8:18" x14ac:dyDescent="0.25">
      <c r="H55" s="24" t="s">
        <v>73</v>
      </c>
      <c r="I55" s="38" t="e">
        <f>IF(AND(F$8=1),Grundtoleranzen!B10,IF(AND(F$8=2),Grundtoleranzen!C10,IF(AND(F$8=3),Grundtoleranzen!D10,IF(AND(F$8=4),Grundtoleranzen!E10,IF(AND(F$8=5),Grundtoleranzen!F10,IF(AND(F$8=6),Grundtoleranzen!G10,IF(AND(F$8=7),Grundtoleranzen!H10,IF(AND(F$8=8),Grundtoleranzen!I10,IF(AND(F$8=9),Grundtoleranzen!J10,IF(AND(F$8=10),Grundtoleranzen!K10,IF(AND(F$8=11),Grundtoleranzen!L10,IF(AND(F$8=12),Grundtoleranzen!M10,IF(AND(F$8=13),Grundtoleranzen!N10,IF(AND(F$8=14),Grundtoleranzen!O10,IF(AND(F$8=15),Grundtoleranzen!P10,IF(AND(F$8=16),Grundtoleranzen!Q10,IF(AND(F$8=17),Grundtoleranzen!R10,IF(AND(F$8=18),Grundtoleranzen!S10))))))))))))))))))</f>
        <v>#REF!</v>
      </c>
      <c r="K55" s="24" t="s">
        <v>130</v>
      </c>
      <c r="L55" s="68" t="e">
        <f>IF(AND(F$12="c"),Grundtoleranzen!B73,IF(AND(F$12="d"),Grundtoleranzen!C73,IF(AND(F$12="e"),Grundtoleranzen!D73,IF(AND(F$12="f"),Grundtoleranzen!E73,IF(AND(F$12="g"),Grundtoleranzen!F73,IF(AND(F$12="h"),Grundtoleranzen!G73))))))</f>
        <v>#REF!</v>
      </c>
      <c r="M55" s="24" t="s">
        <v>72</v>
      </c>
      <c r="N55" s="70" t="e">
        <f>IF(AND(F$12="js",F$8=1),(Grundtoleranzen!B9)/2,IF(AND(F$12="js",F$8=2),(Grundtoleranzen!C9)/2,IF(AND(F$12="js",F$8=3),(Grundtoleranzen!D9)/2,IF(AND(F$12="js",F$8=4),(Grundtoleranzen!E9)/2,IF(AND(F$12="js",F$8=5),(Grundtoleranzen!F9)/2,IF(AND(F$12="js",F$8=6),(Grundtoleranzen!G9)/2,IF(AND(F$12="js",F$8=7),(Grundtoleranzen!H9)/2,IF(AND(F$12="js",F$8=8),(Grundtoleranzen!I9)/2,IF(AND(F$12="js",F$8=9),(Grundtoleranzen!J9)/2,IF(AND(F$12="js",F$8=10),(Grundtoleranzen!K9)/2,IF(AND(F$12="js",F$8=11),(Grundtoleranzen!L9)/2,IF(AND(F$12="js",F$8=12),(Grundtoleranzen!M9)/2,IF(AND(F$12="js",F$8=13),(Grundtoleranzen!N9)/2,IF(AND(F$12="js",F$8=14),(Grundtoleranzen!O9)/2,IF(AND(F$12="js",F$8=15),(Grundtoleranzen!P9)/2,IF(AND(F$12="js",F$8=16),(Grundtoleranzen!Q9)/2,IF(AND(F$12="js",F$8=17),(Grundtoleranzen!R9)/2,IF(AND(F$12="js",F$8=18),(Grundtoleranzen!S9)/2))))))))))))))))))*-1</f>
        <v>#REF!</v>
      </c>
      <c r="P55" s="70" t="e">
        <f>IF(AND(F$12="j",F$8=5),(Grundtoleranzen!I73),IF(AND(F$12="j",F$8=6),(Grundtoleranzen!I73),IF(AND(F$12="j",F$8=7),(Grundtoleranzen!J73),"Nur IT5-7")))</f>
        <v>#REF!</v>
      </c>
      <c r="Q55" s="70" t="e">
        <f>IF(AND($F$12="k",$F$8=1),"Nur IT 4-18",IF(AND($F$12="k",$F$8=2),"Nur IT 4-18",IF(AND($F$12="k",$F$8=3),"Nur IT 4-18",IF(AND($F$12="k",$F$8=4),(Grundtoleranzen!K73),IF(AND($F$12="k",$F$8=5),(Grundtoleranzen!K73),IF(AND($F$12="k",$F$8=6),(Grundtoleranzen!K73),(Grundtoleranzen!L73)))))))</f>
        <v>#REF!</v>
      </c>
      <c r="R55" s="70" t="e">
        <f>IF(AND(F$12="m"),Grundtoleranzen!M73,IF(AND(F$12="n"),Grundtoleranzen!N73,IF(AND(F$12="p"),Grundtoleranzen!O73,IF(AND(F$12="r"),Grundtoleranzen!P73,IF(AND(F$12="s"),Grundtoleranzen!Q73,IF(AND(F$12="t"),Grundtoleranzen!R73,IF(AND(F$12="u"),Grundtoleranzen!S73,IF(AND(F$12="x"),Grundtoleranzen!T73,IF(AND(F$12="z"),Grundtoleranzen!U73,IF(AND(F$12="za"),Grundtoleranzen!V73,IF(AND(F$12="zb"),Grundtoleranzen!W73,IF(AND(F$12="zc"),Grundtoleranzen!X73))))))))))))</f>
        <v>#REF!</v>
      </c>
    </row>
    <row r="56" spans="8:18" x14ac:dyDescent="0.25">
      <c r="H56" s="24" t="s">
        <v>75</v>
      </c>
      <c r="I56" s="38" t="e">
        <f>IF(AND(F$8=1),Grundtoleranzen!B11,IF(AND(F$8=2),Grundtoleranzen!C11,IF(AND(F$8=3),Grundtoleranzen!D11,IF(AND(F$8=4),Grundtoleranzen!E11,IF(AND(F$8=5),Grundtoleranzen!F11,IF(AND(F$8=6),Grundtoleranzen!G11,IF(AND(F$8=7),Grundtoleranzen!H11,IF(AND(F$8=8),Grundtoleranzen!I11,IF(AND(F$8=9),Grundtoleranzen!J11,IF(AND(F$8=10),Grundtoleranzen!K11,IF(AND(F$8=11),Grundtoleranzen!L11,IF(AND(F$8=12),Grundtoleranzen!M11,IF(AND(F$8=13),Grundtoleranzen!N11,IF(AND(F$8=14),Grundtoleranzen!O11,IF(AND(F$8=15),Grundtoleranzen!P11,IF(AND(F$8=16),Grundtoleranzen!Q11,IF(AND(F$8=17),Grundtoleranzen!R11,IF(AND(F$8=18),Grundtoleranzen!S11))))))))))))))))))</f>
        <v>#REF!</v>
      </c>
      <c r="K56" s="24" t="s">
        <v>131</v>
      </c>
      <c r="L56" s="68" t="e">
        <f>IF(AND(F$12="c"),Grundtoleranzen!B74,IF(AND(F$12="d"),Grundtoleranzen!C74,IF(AND(F$12="e"),Grundtoleranzen!D74,IF(AND(F$12="f"),Grundtoleranzen!E74,IF(AND(F$12="g"),Grundtoleranzen!F74,IF(AND(F$12="h"),Grundtoleranzen!G74))))))</f>
        <v>#REF!</v>
      </c>
      <c r="M56" s="24" t="s">
        <v>73</v>
      </c>
      <c r="N56" s="70" t="e">
        <f>IF(AND(F$12="js",F$8=1),(Grundtoleranzen!B10)/2,IF(AND(F$12="js",F$8=2),(Grundtoleranzen!C10)/2,IF(AND(F$12="js",F$8=3),(Grundtoleranzen!D10)/2,IF(AND(F$12="js",F$8=4),(Grundtoleranzen!E10)/2,IF(AND(F$12="js",F$8=5),(Grundtoleranzen!F10)/2,IF(AND(F$12="js",F$8=6),(Grundtoleranzen!G10)/2,IF(AND(F$12="js",F$8=7),(Grundtoleranzen!H10)/2,IF(AND(F$12="js",F$8=8),(Grundtoleranzen!I10)/2,IF(AND(F$12="js",F$8=9),(Grundtoleranzen!J10)/2,IF(AND(F$12="js",F$8=10),(Grundtoleranzen!K10)/2,IF(AND(F$12="js",F$8=11),(Grundtoleranzen!L10)/2,IF(AND(F$12="js",F$8=12),(Grundtoleranzen!M10)/2,IF(AND(F$12="js",F$8=13),(Grundtoleranzen!N10)/2,IF(AND(F$12="js",F$8=14),(Grundtoleranzen!O10)/2,IF(AND(F$12="js",F$8=15),(Grundtoleranzen!P10)/2,IF(AND(F$12="js",F$8=16),(Grundtoleranzen!Q10)/2,IF(AND(F$12="js",F$8=17),(Grundtoleranzen!R10)/2,IF(AND(F$12="js",F$8=18),(Grundtoleranzen!S10)/2))))))))))))))))))*-1</f>
        <v>#REF!</v>
      </c>
      <c r="P56" s="70" t="e">
        <f>IF(AND(F$12="j",F$8=5),(Grundtoleranzen!I74),IF(AND(F$12="j",F$8=6),(Grundtoleranzen!I74),IF(AND(F$12="j",F$8=7),(Grundtoleranzen!J74),"Nur IT5-7")))</f>
        <v>#REF!</v>
      </c>
      <c r="Q56" s="70" t="e">
        <f>IF(AND($F$12="k",$F$8=1),"Nur IT 4-18",IF(AND($F$12="k",$F$8=2),"Nur IT 4-18",IF(AND($F$12="k",$F$8=3),"Nur IT 4-18",IF(AND($F$12="k",$F$8=4),(Grundtoleranzen!K74),IF(AND($F$12="k",$F$8=5),(Grundtoleranzen!K74),IF(AND($F$12="k",$F$8=6),(Grundtoleranzen!K74),(Grundtoleranzen!L74)))))))</f>
        <v>#REF!</v>
      </c>
      <c r="R56" s="70" t="e">
        <f>IF(AND(F$12="m"),Grundtoleranzen!M74,IF(AND(F$12="n"),Grundtoleranzen!N74,IF(AND(F$12="p"),Grundtoleranzen!O74,IF(AND(F$12="r"),Grundtoleranzen!P74,IF(AND(F$12="s"),Grundtoleranzen!Q74,IF(AND(F$12="t"),Grundtoleranzen!R74,IF(AND(F$12="u"),Grundtoleranzen!S74,IF(AND(F$12="x"),Grundtoleranzen!T74,IF(AND(F$12="z"),Grundtoleranzen!U74,IF(AND(F$12="za"),Grundtoleranzen!V74,IF(AND(F$12="zb"),Grundtoleranzen!W74,IF(AND(F$12="zc"),Grundtoleranzen!X74))))))))))))</f>
        <v>#REF!</v>
      </c>
    </row>
    <row r="57" spans="8:18" x14ac:dyDescent="0.25">
      <c r="H57" s="24" t="s">
        <v>76</v>
      </c>
      <c r="I57" s="38" t="e">
        <f>IF(AND(F$8=1),Grundtoleranzen!B12,IF(AND(F$8=2),Grundtoleranzen!C12,IF(AND(F$8=3),Grundtoleranzen!D12,IF(AND(F$8=4),Grundtoleranzen!E12,IF(AND(F$8=5),Grundtoleranzen!F12,IF(AND(F$8=6),Grundtoleranzen!G12,IF(AND(F$8=7),Grundtoleranzen!H12,IF(AND(F$8=8),Grundtoleranzen!I12,IF(AND(F$8=9),Grundtoleranzen!J12,IF(AND(F$8=10),Grundtoleranzen!K12,IF(AND(F$8=11),Grundtoleranzen!L12,IF(AND(F$8=12),Grundtoleranzen!M12,IF(AND(F$8=13),Grundtoleranzen!N12,IF(AND(F$8=14),Grundtoleranzen!O12,IF(AND(F$8=15),Grundtoleranzen!P12,IF(AND(F$8=16),Grundtoleranzen!Q12,IF(AND(F$8=17),Grundtoleranzen!R12,IF(AND(F$8=18),Grundtoleranzen!S12))))))))))))))))))</f>
        <v>#REF!</v>
      </c>
      <c r="K57" s="24" t="s">
        <v>132</v>
      </c>
      <c r="L57" s="68" t="e">
        <f>IF(AND(F$12="c"),Grundtoleranzen!B75,IF(AND(F$12="d"),Grundtoleranzen!C75,IF(AND(F$12="e"),Grundtoleranzen!D75,IF(AND(F$12="f"),Grundtoleranzen!E75,IF(AND(F$12="g"),Grundtoleranzen!F75,IF(AND(F$12="h"),Grundtoleranzen!G75))))))</f>
        <v>#REF!</v>
      </c>
      <c r="M57" s="24" t="s">
        <v>75</v>
      </c>
      <c r="N57" s="70" t="e">
        <f>IF(AND(F$12="js",F$8=1),(Grundtoleranzen!B11)/2,IF(AND(F$12="js",F$8=2),(Grundtoleranzen!C11)/2,IF(AND(F$12="js",F$8=3),(Grundtoleranzen!D11)/2,IF(AND(F$12="js",F$8=4),(Grundtoleranzen!E11)/2,IF(AND(F$12="js",F$8=5),(Grundtoleranzen!F11)/2,IF(AND(F$12="js",F$8=6),(Grundtoleranzen!G11)/2,IF(AND(F$12="js",F$8=7),(Grundtoleranzen!H11)/2,IF(AND(F$12="js",F$8=8),(Grundtoleranzen!I11)/2,IF(AND(F$12="js",F$8=9),(Grundtoleranzen!J11)/2,IF(AND(F$12="js",F$8=10),(Grundtoleranzen!K11)/2,IF(AND(F$12="js",F$8=11),(Grundtoleranzen!L11)/2,IF(AND(F$12="js",F$8=12),(Grundtoleranzen!M11)/2,IF(AND(F$12="js",F$8=13),(Grundtoleranzen!N11)/2,IF(AND(F$12="js",F$8=14),(Grundtoleranzen!O11)/2,IF(AND(F$12="js",F$8=15),(Grundtoleranzen!P11)/2,IF(AND(F$12="js",F$8=16),(Grundtoleranzen!Q11)/2,IF(AND(F$12="js",F$8=17),(Grundtoleranzen!R11)/2,IF(AND(F$12="js",F$8=18),(Grundtoleranzen!S11)/2))))))))))))))))))*-1</f>
        <v>#REF!</v>
      </c>
      <c r="P57" s="70" t="e">
        <f>IF(AND(F$12="j",F$8=5),(Grundtoleranzen!I75),IF(AND(F$12="j",F$8=6),(Grundtoleranzen!I75),IF(AND(F$12="j",F$8=7),(Grundtoleranzen!J75),"Nur IT5-7")))</f>
        <v>#REF!</v>
      </c>
      <c r="Q57" s="70" t="e">
        <f>IF(AND($F$12="k",$F$8=1),"Nur IT 4-18",IF(AND($F$12="k",$F$8=2),"Nur IT 4-18",IF(AND($F$12="k",$F$8=3),"Nur IT 4-18",IF(AND($F$12="k",$F$8=4),(Grundtoleranzen!K75),IF(AND($F$12="k",$F$8=5),(Grundtoleranzen!K75),IF(AND($F$12="k",$F$8=6),(Grundtoleranzen!K75),(Grundtoleranzen!L75)))))))</f>
        <v>#REF!</v>
      </c>
      <c r="R57" s="70" t="e">
        <f>IF(AND(F$12="m"),Grundtoleranzen!M75,IF(AND(F$12="n"),Grundtoleranzen!N75,IF(AND(F$12="p"),Grundtoleranzen!O75,IF(AND(F$12="r"),Grundtoleranzen!P75,IF(AND(F$12="s"),Grundtoleranzen!Q75,IF(AND(F$12="t"),Grundtoleranzen!R75,IF(AND(F$12="u"),Grundtoleranzen!S75,IF(AND(F$12="x"),Grundtoleranzen!T75,IF(AND(F$12="z"),Grundtoleranzen!U75,IF(AND(F$12="za"),Grundtoleranzen!V75,IF(AND(F$12="zb"),Grundtoleranzen!W75,IF(AND(F$12="zc"),Grundtoleranzen!X75))))))))))))</f>
        <v>#REF!</v>
      </c>
    </row>
    <row r="58" spans="8:18" x14ac:dyDescent="0.25">
      <c r="H58" s="24" t="s">
        <v>77</v>
      </c>
      <c r="I58" s="38" t="e">
        <f>IF(AND(F$8=1),Grundtoleranzen!B13,IF(AND(F$8=2),Grundtoleranzen!C13,IF(AND(F$8=3),Grundtoleranzen!D13,IF(AND(F$8=4),Grundtoleranzen!E13,IF(AND(F$8=5),Grundtoleranzen!F13,IF(AND(F$8=6),Grundtoleranzen!G13,IF(AND(F$8=7),Grundtoleranzen!H13,IF(AND(F$8=8),Grundtoleranzen!I13,IF(AND(F$8=9),Grundtoleranzen!J13,IF(AND(F$8=10),Grundtoleranzen!K13,IF(AND(F$8=11),Grundtoleranzen!L13,IF(AND(F$8=12),Grundtoleranzen!M13,IF(AND(F$8=13),Grundtoleranzen!N13,IF(AND(F$8=14),Grundtoleranzen!O13,IF(AND(F$8=15),Grundtoleranzen!P13,IF(AND(F$8=16),Grundtoleranzen!Q13,IF(AND(F$8=17),Grundtoleranzen!R13,IF(AND(F$8=18),Grundtoleranzen!S13))))))))))))))))))</f>
        <v>#REF!</v>
      </c>
      <c r="K58" s="24" t="s">
        <v>133</v>
      </c>
      <c r="L58" s="68" t="e">
        <f>IF(AND(F$12="c"),Grundtoleranzen!B76,IF(AND(F$12="d"),Grundtoleranzen!C76,IF(AND(F$12="e"),Grundtoleranzen!D76,IF(AND(F$12="f"),Grundtoleranzen!E76,IF(AND(F$12="g"),Grundtoleranzen!F76,IF(AND(F$12="h"),Grundtoleranzen!G76))))))</f>
        <v>#REF!</v>
      </c>
      <c r="M58" s="24" t="s">
        <v>76</v>
      </c>
      <c r="N58" s="70" t="e">
        <f>IF(AND(F$12="js",F$8=1),(Grundtoleranzen!B12)/2,IF(AND(F$12="js",F$8=2),(Grundtoleranzen!C12)/2,IF(AND(F$12="js",F$8=3),(Grundtoleranzen!D12)/2,IF(AND(F$12="js",F$8=4),(Grundtoleranzen!E12)/2,IF(AND(F$12="js",F$8=5),(Grundtoleranzen!F12)/2,IF(AND(F$12="js",F$8=6),(Grundtoleranzen!G12)/2,IF(AND(F$12="js",F$8=7),(Grundtoleranzen!H12)/2,IF(AND(F$12="js",F$8=8),(Grundtoleranzen!I12)/2,IF(AND(F$12="js",F$8=9),(Grundtoleranzen!J12)/2,IF(AND(F$12="js",F$8=10),(Grundtoleranzen!K12)/2,IF(AND(F$12="js",F$8=11),(Grundtoleranzen!L12)/2,IF(AND(F$12="js",F$8=12),(Grundtoleranzen!M12)/2,IF(AND(F$12="js",F$8=13),(Grundtoleranzen!N12)/2,IF(AND(F$12="js",F$8=14),(Grundtoleranzen!O12)/2,IF(AND(F$12="js",F$8=15),(Grundtoleranzen!P12)/2,IF(AND(F$12="js",F$8=16),(Grundtoleranzen!Q12)/2,IF(AND(F$12="js",F$8=17),(Grundtoleranzen!R12)/2,IF(AND(F$12="js",F$8=18),(Grundtoleranzen!S12)/2))))))))))))))))))*-1</f>
        <v>#REF!</v>
      </c>
      <c r="P58" s="70" t="e">
        <f>IF(AND(F$12="j",F$8=5),(Grundtoleranzen!I76),IF(AND(F$12="j",F$8=6),(Grundtoleranzen!I76),IF(AND(F$12="j",F$8=7),(Grundtoleranzen!J76),"Nur IT5-7")))</f>
        <v>#REF!</v>
      </c>
      <c r="Q58" s="70" t="e">
        <f>IF(AND($F$12="k",$F$8=1),"Nur IT 4-18",IF(AND($F$12="k",$F$8=2),"Nur IT 4-18",IF(AND($F$12="k",$F$8=3),"Nur IT 4-18",IF(AND($F$12="k",$F$8=4),(Grundtoleranzen!K76),IF(AND($F$12="k",$F$8=5),(Grundtoleranzen!K76),IF(AND($F$12="k",$F$8=6),(Grundtoleranzen!K76),(Grundtoleranzen!L76)))))))</f>
        <v>#REF!</v>
      </c>
      <c r="R58" s="70" t="e">
        <f>IF(AND(F$12="m"),Grundtoleranzen!M76,IF(AND(F$12="n"),Grundtoleranzen!N76,IF(AND(F$12="p"),Grundtoleranzen!O76,IF(AND(F$12="r"),Grundtoleranzen!P76,IF(AND(F$12="s"),Grundtoleranzen!Q76,IF(AND(F$12="t"),Grundtoleranzen!R76,IF(AND(F$12="u"),Grundtoleranzen!S76,IF(AND(F$12="x"),Grundtoleranzen!T76,IF(AND(F$12="z"),Grundtoleranzen!U76,IF(AND(F$12="za"),Grundtoleranzen!V76,IF(AND(F$12="zb"),Grundtoleranzen!W76,IF(AND(F$12="zc"),Grundtoleranzen!X76))))))))))))</f>
        <v>#REF!</v>
      </c>
    </row>
    <row r="59" spans="8:18" x14ac:dyDescent="0.25">
      <c r="H59" s="24" t="s">
        <v>78</v>
      </c>
      <c r="I59" s="38" t="e">
        <f>IF(AND(F$8=1),Grundtoleranzen!B14,IF(AND(F$8=2),Grundtoleranzen!C14,IF(AND(F$8=3),Grundtoleranzen!D14,IF(AND(F$8=4),Grundtoleranzen!E14,IF(AND(F$8=5),Grundtoleranzen!F14,IF(AND(F$8=6),Grundtoleranzen!G14,IF(AND(F$8=7),Grundtoleranzen!H14,IF(AND(F$8=8),Grundtoleranzen!I14,IF(AND(F$8=9),Grundtoleranzen!J14,IF(AND(F$8=10),Grundtoleranzen!K14,IF(AND(F$8=11),Grundtoleranzen!L14,IF(AND(F$8=12),Grundtoleranzen!M14,IF(AND(F$8=13),Grundtoleranzen!N14,IF(AND(F$8=14),Grundtoleranzen!O14,IF(AND(F$8=15),Grundtoleranzen!P14,IF(AND(F$8=16),Grundtoleranzen!Q14,IF(AND(F$8=17),Grundtoleranzen!R14,IF(AND(F$8=18),Grundtoleranzen!S14))))))))))))))))))</f>
        <v>#REF!</v>
      </c>
      <c r="K59" s="24" t="s">
        <v>134</v>
      </c>
      <c r="L59" s="68" t="e">
        <f>IF(AND(F$12="c"),Grundtoleranzen!B77,IF(AND(F$12="d"),Grundtoleranzen!C77,IF(AND(F$12="e"),Grundtoleranzen!D77,IF(AND(F$12="f"),Grundtoleranzen!E77,IF(AND(F$12="g"),Grundtoleranzen!F77,IF(AND(F$12="h"),Grundtoleranzen!G77))))))</f>
        <v>#REF!</v>
      </c>
      <c r="M59" s="24" t="s">
        <v>77</v>
      </c>
      <c r="N59" s="70" t="e">
        <f>IF(AND(F$12="js",F$8=1),(Grundtoleranzen!B13)/2,IF(AND(F$12="js",F$8=2),(Grundtoleranzen!C13)/2,IF(AND(F$12="js",F$8=3),(Grundtoleranzen!D13)/2,IF(AND(F$12="js",F$8=4),(Grundtoleranzen!E13)/2,IF(AND(F$12="js",F$8=5),(Grundtoleranzen!F13)/2,IF(AND(F$12="js",F$8=6),(Grundtoleranzen!G13)/2,IF(AND(F$12="js",F$8=7),(Grundtoleranzen!H13)/2,IF(AND(F$12="js",F$8=8),(Grundtoleranzen!I13)/2,IF(AND(F$12="js",F$8=9),(Grundtoleranzen!J13)/2,IF(AND(F$12="js",F$8=10),(Grundtoleranzen!K13)/2,IF(AND(F$12="js",F$8=11),(Grundtoleranzen!L13)/2,IF(AND(F$12="js",F$8=12),(Grundtoleranzen!M13)/2,IF(AND(F$12="js",F$8=13),(Grundtoleranzen!N13)/2,IF(AND(F$12="js",F$8=14),(Grundtoleranzen!O13)/2,IF(AND(F$12="js",F$8=15),(Grundtoleranzen!P13)/2,IF(AND(F$12="js",F$8=16),(Grundtoleranzen!Q13)/2,IF(AND(F$12="js",F$8=17),(Grundtoleranzen!R13)/2,IF(AND(F$12="js",F$8=18),(Grundtoleranzen!S13)/2))))))))))))))))))*-1</f>
        <v>#REF!</v>
      </c>
      <c r="P59" s="70" t="e">
        <f>IF(AND(F$12="j",F$8=5),(Grundtoleranzen!I77),IF(AND(F$12="j",F$8=6),(Grundtoleranzen!I77),IF(AND(F$12="j",F$8=7),(Grundtoleranzen!J77),"Nur IT5-7")))</f>
        <v>#REF!</v>
      </c>
      <c r="Q59" s="70" t="e">
        <f>IF(AND($F$12="k",$F$8=1),"Nur IT 4-18",IF(AND($F$12="k",$F$8=2),"Nur IT 4-18",IF(AND($F$12="k",$F$8=3),"Nur IT 4-18",IF(AND($F$12="k",$F$8=4),(Grundtoleranzen!K77),IF(AND($F$12="k",$F$8=5),(Grundtoleranzen!K77),IF(AND($F$12="k",$F$8=6),(Grundtoleranzen!K77),(Grundtoleranzen!L77)))))))</f>
        <v>#REF!</v>
      </c>
      <c r="R59" s="70" t="e">
        <f>IF(AND(F$12="m"),Grundtoleranzen!M77,IF(AND(F$12="n"),Grundtoleranzen!N77,IF(AND(F$12="p"),Grundtoleranzen!O77,IF(AND(F$12="r"),Grundtoleranzen!P77,IF(AND(F$12="s"),Grundtoleranzen!Q77,IF(AND(F$12="t"),Grundtoleranzen!R77,IF(AND(F$12="u"),Grundtoleranzen!S77,IF(AND(F$12="x"),Grundtoleranzen!T77,IF(AND(F$12="z"),Grundtoleranzen!U77,IF(AND(F$12="za"),Grundtoleranzen!V77,IF(AND(F$12="zb"),Grundtoleranzen!W77,IF(AND(F$12="zc"),Grundtoleranzen!X77))))))))))))</f>
        <v>#REF!</v>
      </c>
    </row>
    <row r="60" spans="8:18" x14ac:dyDescent="0.25">
      <c r="H60" s="24" t="s">
        <v>79</v>
      </c>
      <c r="I60" s="38" t="e">
        <f>IF(AND(F$8=1),Grundtoleranzen!B15,IF(AND(F$8=2),Grundtoleranzen!C15,IF(AND(F$8=3),Grundtoleranzen!D15,IF(AND(F$8=4),Grundtoleranzen!E15,IF(AND(F$8=5),Grundtoleranzen!F15,IF(AND(F$8=6),Grundtoleranzen!G15,IF(AND(F$8=7),Grundtoleranzen!H15,IF(AND(F$8=8),Grundtoleranzen!I15,IF(AND(F$8=9),Grundtoleranzen!J15,IF(AND(F$8=10),Grundtoleranzen!K15,IF(AND(F$8=11),Grundtoleranzen!L15,IF(AND(F$8=12),Grundtoleranzen!M15,IF(AND(F$8=13),Grundtoleranzen!N15,IF(AND(F$8=14),Grundtoleranzen!O15,IF(AND(F$8=15),Grundtoleranzen!P15,IF(AND(F$8=16),Grundtoleranzen!Q15,IF(AND(F$8=17),Grundtoleranzen!R15,IF(AND(F$8=18),Grundtoleranzen!S15))))))))))))))))))</f>
        <v>#REF!</v>
      </c>
      <c r="K60" s="24" t="s">
        <v>135</v>
      </c>
      <c r="L60" s="68" t="e">
        <f>IF(AND(F$12="c"),Grundtoleranzen!B78,IF(AND(F$12="d"),Grundtoleranzen!C78,IF(AND(F$12="e"),Grundtoleranzen!D78,IF(AND(F$12="f"),Grundtoleranzen!E78,IF(AND(F$12="g"),Grundtoleranzen!F78,IF(AND(F$12="h"),Grundtoleranzen!G78))))))</f>
        <v>#REF!</v>
      </c>
      <c r="M60" s="24" t="s">
        <v>78</v>
      </c>
      <c r="N60" s="70" t="e">
        <f>IF(AND(F$12="js",F$8=1),(Grundtoleranzen!B14)/2,IF(AND(F$12="js",F$8=2),(Grundtoleranzen!C14)/2,IF(AND(F$12="js",F$8=3),(Grundtoleranzen!D14)/2,IF(AND(F$12="js",F$8=4),(Grundtoleranzen!E14)/2,IF(AND(F$12="js",F$8=5),(Grundtoleranzen!F14)/2,IF(AND(F$12="js",F$8=6),(Grundtoleranzen!G14)/2,IF(AND(F$12="js",F$8=7),(Grundtoleranzen!H14)/2,IF(AND(F$12="js",F$8=8),(Grundtoleranzen!I14)/2,IF(AND(F$12="js",F$8=9),(Grundtoleranzen!J14)/2,IF(AND(F$12="js",F$8=10),(Grundtoleranzen!K14)/2,IF(AND(F$12="js",F$8=11),(Grundtoleranzen!L14)/2,IF(AND(F$12="js",F$8=12),(Grundtoleranzen!M14)/2,IF(AND(F$12="js",F$8=13),(Grundtoleranzen!N14)/2,IF(AND(F$12="js",F$8=14),(Grundtoleranzen!O14)/2,IF(AND(F$12="js",F$8=15),(Grundtoleranzen!P14)/2,IF(AND(F$12="js",F$8=16),(Grundtoleranzen!Q14)/2,IF(AND(F$12="js",F$8=17),(Grundtoleranzen!R14)/2,IF(AND(F$12="js",F$8=18),(Grundtoleranzen!S14)/2))))))))))))))))))*-1</f>
        <v>#REF!</v>
      </c>
      <c r="P60" s="70" t="e">
        <f>IF(AND(F$12="j",F$8=5),(Grundtoleranzen!I78),IF(AND(F$12="j",F$8=6),(Grundtoleranzen!I78),IF(AND(F$12="j",F$8=7),(Grundtoleranzen!J78),"Nur IT5-7")))</f>
        <v>#REF!</v>
      </c>
      <c r="Q60" s="70" t="e">
        <f>IF(AND($F$12="k",$F$8=1),"Nur IT 4-18",IF(AND($F$12="k",$F$8=2),"Nur IT 4-18",IF(AND($F$12="k",$F$8=3),"Nur IT 4-18",IF(AND($F$12="k",$F$8=4),(Grundtoleranzen!K78),IF(AND($F$12="k",$F$8=5),(Grundtoleranzen!K78),IF(AND($F$12="k",$F$8=6),(Grundtoleranzen!K78),(Grundtoleranzen!L78)))))))</f>
        <v>#REF!</v>
      </c>
      <c r="R60" s="70" t="e">
        <f>IF(AND(F$12="m"),Grundtoleranzen!M78,IF(AND(F$12="n"),Grundtoleranzen!N78,IF(AND(F$12="p"),Grundtoleranzen!O78,IF(AND(F$12="r"),Grundtoleranzen!P78,IF(AND(F$12="s"),Grundtoleranzen!Q78,IF(AND(F$12="t"),Grundtoleranzen!R78,IF(AND(F$12="u"),Grundtoleranzen!S78,IF(AND(F$12="x"),Grundtoleranzen!T78,IF(AND(F$12="z"),Grundtoleranzen!U78,IF(AND(F$12="za"),Grundtoleranzen!V78,IF(AND(F$12="zb"),Grundtoleranzen!W78,IF(AND(F$12="zc"),Grundtoleranzen!X78))))))))))))</f>
        <v>#REF!</v>
      </c>
    </row>
    <row r="61" spans="8:18" x14ac:dyDescent="0.25">
      <c r="H61" s="24" t="s">
        <v>80</v>
      </c>
      <c r="I61" s="38" t="e">
        <f>IF(AND(F$8=1),Grundtoleranzen!B16,IF(AND(F$8=2),Grundtoleranzen!C16,IF(AND(F$8=3),Grundtoleranzen!D16,IF(AND(F$8=4),Grundtoleranzen!E16,IF(AND(F$8=5),Grundtoleranzen!F16,IF(AND(F$8=6),Grundtoleranzen!G16,IF(AND(F$8=7),Grundtoleranzen!H16,IF(AND(F$8=8),Grundtoleranzen!I16,IF(AND(F$8=9),Grundtoleranzen!J16,IF(AND(F$8=10),Grundtoleranzen!K16,IF(AND(F$8=11),Grundtoleranzen!L16,IF(AND(F$8=12),Grundtoleranzen!M16,IF(AND(F$8=13),Grundtoleranzen!N16,IF(AND(F$8=14),Grundtoleranzen!O16,IF(AND(F$8=15),Grundtoleranzen!P16,IF(AND(F$8=16),Grundtoleranzen!Q16,IF(AND(F$8=17),Grundtoleranzen!R16,IF(AND(F$8=18),Grundtoleranzen!S16))))))))))))))))))</f>
        <v>#REF!</v>
      </c>
      <c r="K61" s="24" t="s">
        <v>137</v>
      </c>
      <c r="L61" s="68" t="e">
        <f>IF(AND(F$12="c"),Grundtoleranzen!B79,IF(AND(F$12="d"),Grundtoleranzen!C79,IF(AND(F$12="e"),Grundtoleranzen!D79,IF(AND(F$12="f"),Grundtoleranzen!E79,IF(AND(F$12="g"),Grundtoleranzen!F79,IF(AND(F$12="h"),Grundtoleranzen!G79))))))</f>
        <v>#REF!</v>
      </c>
      <c r="M61" s="24" t="s">
        <v>79</v>
      </c>
      <c r="N61" s="70" t="e">
        <f>IF(AND(F$12="js",F$8=1),(Grundtoleranzen!B15)/2,IF(AND(F$12="js",F$8=2),(Grundtoleranzen!C15)/2,IF(AND(F$12="js",F$8=3),(Grundtoleranzen!D15)/2,IF(AND(F$12="js",F$8=4),(Grundtoleranzen!E15)/2,IF(AND(F$12="js",F$8=5),(Grundtoleranzen!F15)/2,IF(AND(F$12="js",F$8=6),(Grundtoleranzen!G15)/2,IF(AND(F$12="js",F$8=7),(Grundtoleranzen!H15)/2,IF(AND(F$12="js",F$8=8),(Grundtoleranzen!I15)/2,IF(AND(F$12="js",F$8=9),(Grundtoleranzen!J15)/2,IF(AND(F$12="js",F$8=10),(Grundtoleranzen!K15)/2,IF(AND(F$12="js",F$8=11),(Grundtoleranzen!L15)/2,IF(AND(F$12="js",F$8=12),(Grundtoleranzen!M15)/2,IF(AND(F$12="js",F$8=13),(Grundtoleranzen!N15)/2,IF(AND(F$12="js",F$8=14),(Grundtoleranzen!O15)/2,IF(AND(F$12="js",F$8=15),(Grundtoleranzen!P15)/2,IF(AND(F$12="js",F$8=16),(Grundtoleranzen!Q15)/2,IF(AND(F$12="js",F$8=17),(Grundtoleranzen!R15)/2,IF(AND(F$12="js",F$8=18),(Grundtoleranzen!S15)/2))))))))))))))))))*-1</f>
        <v>#REF!</v>
      </c>
      <c r="P61" s="70" t="e">
        <f>IF(AND(F$12="j",F$8=5),(Grundtoleranzen!I79),IF(AND(F$12="j",F$8=6),(Grundtoleranzen!I79),IF(AND(F$12="j",F$8=7),(Grundtoleranzen!J79),"Nur IT5-7")))</f>
        <v>#REF!</v>
      </c>
      <c r="Q61" s="70" t="e">
        <f>IF(AND($F$12="k",$F$8=1),"Nur IT 4-18",IF(AND($F$12="k",$F$8=2),"Nur IT 4-18",IF(AND($F$12="k",$F$8=3),"Nur IT 4-18",IF(AND($F$12="k",$F$8=4),(Grundtoleranzen!K79),IF(AND($F$12="k",$F$8=5),(Grundtoleranzen!K79),IF(AND($F$12="k",$F$8=6),(Grundtoleranzen!K79),(Grundtoleranzen!L79)))))))</f>
        <v>#REF!</v>
      </c>
      <c r="R61" s="70" t="e">
        <f>IF(AND(F$12="m"),Grundtoleranzen!M79,IF(AND(F$12="n"),Grundtoleranzen!N79,IF(AND(F$12="p"),Grundtoleranzen!O79,IF(AND(F$12="r"),Grundtoleranzen!P79,IF(AND(F$12="s"),Grundtoleranzen!Q79,IF(AND(F$12="t"),Grundtoleranzen!R79,IF(AND(F$12="u"),Grundtoleranzen!S79,IF(AND(F$12="x"),Grundtoleranzen!T79,IF(AND(F$12="z"),Grundtoleranzen!U79,IF(AND(F$12="za"),Grundtoleranzen!V79,IF(AND(F$12="zb"),Grundtoleranzen!W79,IF(AND(F$12="zc"),Grundtoleranzen!X79))))))))))))</f>
        <v>#REF!</v>
      </c>
    </row>
    <row r="62" spans="8:18" x14ac:dyDescent="0.25">
      <c r="H62" s="24" t="s">
        <v>81</v>
      </c>
      <c r="I62" s="38" t="e">
        <f>IF(AND(F$8=1),Grundtoleranzen!B17,IF(AND(F$8=2),Grundtoleranzen!C17,IF(AND(F$8=3),Grundtoleranzen!D17,IF(AND(F$8=4),Grundtoleranzen!E17,IF(AND(F$8=5),Grundtoleranzen!F17,IF(AND(F$8=6),Grundtoleranzen!G17,IF(AND(F$8=7),Grundtoleranzen!H17,IF(AND(F$8=8),Grundtoleranzen!I17,IF(AND(F$8=9),Grundtoleranzen!J17,IF(AND(F$8=10),Grundtoleranzen!K17,IF(AND(F$8=11),Grundtoleranzen!L17,IF(AND(F$8=12),Grundtoleranzen!M17,IF(AND(F$8=13),Grundtoleranzen!N17,IF(AND(F$8=14),Grundtoleranzen!O17,IF(AND(F$8=15),Grundtoleranzen!P17,IF(AND(F$8=16),Grundtoleranzen!Q17,IF(AND(F$8=17),Grundtoleranzen!R17,IF(AND(F$8=18),Grundtoleranzen!S17))))))))))))))))))</f>
        <v>#REF!</v>
      </c>
      <c r="K62" s="24" t="s">
        <v>136</v>
      </c>
      <c r="L62" s="68" t="e">
        <f>IF(AND(F$12="c"),Grundtoleranzen!B80,IF(AND(F$12="d"),Grundtoleranzen!C80,IF(AND(F$12="e"),Grundtoleranzen!D80,IF(AND(F$12="f"),Grundtoleranzen!E80,IF(AND(F$12="g"),Grundtoleranzen!F80,IF(AND(F$12="h"),Grundtoleranzen!G80))))))</f>
        <v>#REF!</v>
      </c>
      <c r="M62" s="24" t="s">
        <v>80</v>
      </c>
      <c r="N62" s="70" t="e">
        <f>IF(AND(F$12="js",F$8=1),(Grundtoleranzen!B16)/2,IF(AND(F$12="js",F$8=2),(Grundtoleranzen!C16)/2,IF(AND(F$12="js",F$8=3),(Grundtoleranzen!D16)/2,IF(AND(F$12="js",F$8=4),(Grundtoleranzen!E16)/2,IF(AND(F$12="js",F$8=5),(Grundtoleranzen!F16)/2,IF(AND(F$12="js",F$8=6),(Grundtoleranzen!G16)/2,IF(AND(F$12="js",F$8=7),(Grundtoleranzen!H16)/2,IF(AND(F$12="js",F$8=8),(Grundtoleranzen!I16)/2,IF(AND(F$12="js",F$8=9),(Grundtoleranzen!J16)/2,IF(AND(F$12="js",F$8=10),(Grundtoleranzen!K16)/2,IF(AND(F$12="js",F$8=11),(Grundtoleranzen!L16)/2,IF(AND(F$12="js",F$8=12),(Grundtoleranzen!M16)/2,IF(AND(F$12="js",F$8=13),(Grundtoleranzen!N16)/2,IF(AND(F$12="js",F$8=14),(Grundtoleranzen!O16)/2,IF(AND(F$12="js",F$8=15),(Grundtoleranzen!P16)/2,IF(AND(F$12="js",F$8=16),(Grundtoleranzen!Q16)/2,IF(AND(F$12="js",F$8=17),(Grundtoleranzen!R16)/2,IF(AND(F$12="js",F$8=18),(Grundtoleranzen!S16)/2))))))))))))))))))*-1</f>
        <v>#REF!</v>
      </c>
      <c r="P62" s="70" t="e">
        <f>IF(AND(F$12="j",F$8=5),(Grundtoleranzen!I80),IF(AND(F$12="j",F$8=6),(Grundtoleranzen!I80),IF(AND(F$12="j",F$8=7),(Grundtoleranzen!J80),"Nur IT5-7")))</f>
        <v>#REF!</v>
      </c>
      <c r="Q62" s="70" t="e">
        <f>IF(AND($F$12="k",$F$8=1),"Nur IT 4-18",IF(AND($F$12="k",$F$8=2),"Nur IT 4-18",IF(AND($F$12="k",$F$8=3),"Nur IT 4-18",IF(AND($F$12="k",$F$8=4),(Grundtoleranzen!K80),IF(AND($F$12="k",$F$8=5),(Grundtoleranzen!K80),IF(AND($F$12="k",$F$8=6),(Grundtoleranzen!K80),(Grundtoleranzen!L80)))))))</f>
        <v>#REF!</v>
      </c>
      <c r="R62" s="70" t="e">
        <f>IF(AND(F$12="m"),Grundtoleranzen!M80,IF(AND(F$12="n"),Grundtoleranzen!N80,IF(AND(F$12="p"),Grundtoleranzen!O80,IF(AND(F$12="r"),Grundtoleranzen!P80,IF(AND(F$12="s"),Grundtoleranzen!Q80,IF(AND(F$12="t"),Grundtoleranzen!R80,IF(AND(F$12="u"),Grundtoleranzen!S80,IF(AND(F$12="x"),Grundtoleranzen!T80,IF(AND(F$12="z"),Grundtoleranzen!U80,IF(AND(F$12="za"),Grundtoleranzen!V80,IF(AND(F$12="zb"),Grundtoleranzen!W80,IF(AND(F$12="zc"),Grundtoleranzen!X80))))))))))))</f>
        <v>#REF!</v>
      </c>
    </row>
    <row r="63" spans="8:18" ht="15.75" customHeight="1" x14ac:dyDescent="0.25">
      <c r="H63" s="24" t="s">
        <v>82</v>
      </c>
      <c r="I63" s="38" t="e">
        <f>IF(AND(F$8=1),Grundtoleranzen!B18,IF(AND(F$8=2),Grundtoleranzen!C18,IF(AND(F$8=3),Grundtoleranzen!D18,IF(AND(F$8=4),Grundtoleranzen!E18,IF(AND(F$8=5),Grundtoleranzen!F18,IF(AND(F$8=6),Grundtoleranzen!G18,IF(AND(F$8=7),Grundtoleranzen!H18,IF(AND(F$8=8),Grundtoleranzen!I18,IF(AND(F$8=9),Grundtoleranzen!J18,IF(AND(F$8=10),Grundtoleranzen!K18,IF(AND(F$8=11),Grundtoleranzen!L18,IF(AND(F$8=12),Grundtoleranzen!M18,IF(AND(F$8=13),Grundtoleranzen!N18,IF(AND(F$8=14),Grundtoleranzen!O18,IF(AND(F$8=15),Grundtoleranzen!P18,IF(AND(F$8=16),Grundtoleranzen!Q18,IF(AND(F$8=17),Grundtoleranzen!R18,IF(AND(F$8=18),Grundtoleranzen!S18))))))))))))))))))</f>
        <v>#REF!</v>
      </c>
      <c r="K63" s="24" t="s">
        <v>138</v>
      </c>
      <c r="L63" s="68" t="e">
        <f>IF(AND(F$12="c"),Grundtoleranzen!B81,IF(AND(F$12="d"),Grundtoleranzen!C81,IF(AND(F$12="e"),Grundtoleranzen!D81,IF(AND(F$12="f"),Grundtoleranzen!E81,IF(AND(F$12="g"),Grundtoleranzen!F81,IF(AND(F$12="h"),Grundtoleranzen!G81))))))</f>
        <v>#REF!</v>
      </c>
      <c r="M63" s="24" t="s">
        <v>81</v>
      </c>
      <c r="N63" s="70" t="e">
        <f>IF(AND(F$12="js",F$8=1),(Grundtoleranzen!B17)/2,IF(AND(F$12="js",F$8=2),(Grundtoleranzen!C17)/2,IF(AND(F$12="js",F$8=3),(Grundtoleranzen!D17)/2,IF(AND(F$12="js",F$8=4),(Grundtoleranzen!E17)/2,IF(AND(F$12="js",F$8=5),(Grundtoleranzen!F17)/2,IF(AND(F$12="js",F$8=6),(Grundtoleranzen!G17)/2,IF(AND(F$12="js",F$8=7),(Grundtoleranzen!H17)/2,IF(AND(F$12="js",F$8=8),(Grundtoleranzen!I17)/2,IF(AND(F$12="js",F$8=9),(Grundtoleranzen!J17)/2,IF(AND(F$12="js",F$8=10),(Grundtoleranzen!K17)/2,IF(AND(F$12="js",F$8=11),(Grundtoleranzen!L17)/2,IF(AND(F$12="js",F$8=12),(Grundtoleranzen!M17)/2,IF(AND(F$12="js",F$8=13),(Grundtoleranzen!N17)/2,IF(AND(F$12="js",F$8=14),(Grundtoleranzen!O17)/2,IF(AND(F$12="js",F$8=15),(Grundtoleranzen!P17)/2,IF(AND(F$12="js",F$8=16),(Grundtoleranzen!Q17)/2,IF(AND(F$12="js",F$8=17),(Grundtoleranzen!R17)/2,IF(AND(F$12="js",F$8=18),(Grundtoleranzen!S17)/2))))))))))))))))))*-1</f>
        <v>#REF!</v>
      </c>
      <c r="P63" s="70" t="e">
        <f>IF(AND(F$12="j",F$8=5),(Grundtoleranzen!I81),IF(AND(F$12="j",F$8=6),(Grundtoleranzen!I81),IF(AND(F$12="j",F$8=7),(Grundtoleranzen!J81),"Nur IT5-7")))</f>
        <v>#REF!</v>
      </c>
      <c r="Q63" s="70" t="e">
        <f>IF(AND($F$12="k",$F$8=1),"Nur IT 4-18",IF(AND($F$12="k",$F$8=2),"Nur IT 4-18",IF(AND($F$12="k",$F$8=3),"Nur IT 4-18",IF(AND($F$12="k",$F$8=4),(Grundtoleranzen!K81),IF(AND($F$12="k",$F$8=5),(Grundtoleranzen!K81),IF(AND($F$12="k",$F$8=6),(Grundtoleranzen!K81),(Grundtoleranzen!L81)))))))</f>
        <v>#REF!</v>
      </c>
      <c r="R63" s="70" t="e">
        <f>IF(AND(F$12="m"),Grundtoleranzen!M81,IF(AND(F$12="n"),Grundtoleranzen!N81,IF(AND(F$12="p"),Grundtoleranzen!O81,IF(AND(F$12="r"),Grundtoleranzen!P81,IF(AND(F$12="s"),Grundtoleranzen!Q81,IF(AND(F$12="t"),Grundtoleranzen!R81,IF(AND(F$12="u"),Grundtoleranzen!S81,IF(AND(F$12="x"),Grundtoleranzen!T81,IF(AND(F$12="z"),Grundtoleranzen!U81,IF(AND(F$12="za"),Grundtoleranzen!V81,IF(AND(F$12="zb"),Grundtoleranzen!W81,IF(AND(F$12="zc"),Grundtoleranzen!X81))))))))))))</f>
        <v>#REF!</v>
      </c>
    </row>
    <row r="64" spans="8:18" x14ac:dyDescent="0.25">
      <c r="H64" s="24" t="s">
        <v>83</v>
      </c>
      <c r="I64" s="38" t="e">
        <f>IF(AND(F$8=1),Grundtoleranzen!B19,IF(AND(F$8=2),Grundtoleranzen!C19,IF(AND(F$8=3),Grundtoleranzen!D19,IF(AND(F$8=4),Grundtoleranzen!E19,IF(AND(F$8=5),Grundtoleranzen!F19,IF(AND(F$8=6),Grundtoleranzen!G19,IF(AND(F$8=7),Grundtoleranzen!H19,IF(AND(F$8=8),Grundtoleranzen!I19,IF(AND(F$8=9),Grundtoleranzen!J19,IF(AND(F$8=10),Grundtoleranzen!K19,IF(AND(F$8=11),Grundtoleranzen!L19,IF(AND(F$8=12),Grundtoleranzen!M19,IF(AND(F$8=13),Grundtoleranzen!N19,IF(AND(F$8=14),Grundtoleranzen!O19,IF(AND(F$8=15),Grundtoleranzen!P19,IF(AND(F$8=16),Grundtoleranzen!Q19,IF(AND(F$8=17),Grundtoleranzen!R19,IF(AND(F$8=18),Grundtoleranzen!S19))))))))))))))))))</f>
        <v>#REF!</v>
      </c>
      <c r="K64" s="24" t="s">
        <v>139</v>
      </c>
      <c r="L64" s="68" t="e">
        <f>IF(AND(F$12="c"),Grundtoleranzen!B82,IF(AND(F$12="d"),Grundtoleranzen!C82,IF(AND(F$12="e"),Grundtoleranzen!D82,IF(AND(F$12="f"),Grundtoleranzen!E82,IF(AND(F$12="g"),Grundtoleranzen!F82,IF(AND(F$12="h"),Grundtoleranzen!G82))))))</f>
        <v>#REF!</v>
      </c>
      <c r="M64" s="24" t="s">
        <v>82</v>
      </c>
      <c r="N64" s="70" t="e">
        <f>IF(AND(F$12="js",F$8=1),(Grundtoleranzen!B18)/2,IF(AND(F$12="js",F$8=2),(Grundtoleranzen!C18)/2,IF(AND(F$12="js",F$8=3),(Grundtoleranzen!D18)/2,IF(AND(F$12="js",F$8=4),(Grundtoleranzen!E18)/2,IF(AND(F$12="js",F$8=5),(Grundtoleranzen!F18)/2,IF(AND(F$12="js",F$8=6),(Grundtoleranzen!G18)/2,IF(AND(F$12="js",F$8=7),(Grundtoleranzen!H18)/2,IF(AND(F$12="js",F$8=8),(Grundtoleranzen!I18)/2,IF(AND(F$12="js",F$8=9),(Grundtoleranzen!J18)/2,IF(AND(F$12="js",F$8=10),(Grundtoleranzen!K18)/2,IF(AND(F$12="js",F$8=11),(Grundtoleranzen!L18)/2,IF(AND(F$12="js",F$8=12),(Grundtoleranzen!M18)/2,IF(AND(F$12="js",F$8=13),(Grundtoleranzen!N18)/2,IF(AND(F$12="js",F$8=14),(Grundtoleranzen!O18)/2,IF(AND(F$12="js",F$8=15),(Grundtoleranzen!P18)/2,IF(AND(F$12="js",F$8=16),(Grundtoleranzen!Q18)/2,IF(AND(F$12="js",F$8=17),(Grundtoleranzen!R18)/2,IF(AND(F$12="js",F$8=18),(Grundtoleranzen!S18)/2))))))))))))))))))*-1</f>
        <v>#REF!</v>
      </c>
      <c r="P64" s="70" t="e">
        <f>IF(AND(F$12="j",F$8=5),(Grundtoleranzen!I82),IF(AND(F$12="j",F$8=6),(Grundtoleranzen!I82),IF(AND(F$12="j",F$8=7),(Grundtoleranzen!J82),"Nur IT5-7")))</f>
        <v>#REF!</v>
      </c>
      <c r="Q64" s="70" t="e">
        <f>IF(AND($F$12="k",$F$8=1),"Nur IT 4-18",IF(AND($F$12="k",$F$8=2),"Nur IT 4-18",IF(AND($F$12="k",$F$8=3),"Nur IT 4-18",IF(AND($F$12="k",$F$8=4),(Grundtoleranzen!K82),IF(AND($F$12="k",$F$8=5),(Grundtoleranzen!K82),IF(AND($F$12="k",$F$8=6),(Grundtoleranzen!K82),(Grundtoleranzen!L82)))))))</f>
        <v>#REF!</v>
      </c>
      <c r="R64" s="70" t="e">
        <f>IF(AND(F$12="m"),Grundtoleranzen!M82,IF(AND(F$12="n"),Grundtoleranzen!N82,IF(AND(F$12="p"),Grundtoleranzen!O82,IF(AND(F$12="r"),Grundtoleranzen!P82,IF(AND(F$12="s"),Grundtoleranzen!Q82,IF(AND(F$12="t"),Grundtoleranzen!R82,IF(AND(F$12="u"),Grundtoleranzen!S82,IF(AND(F$12="x"),Grundtoleranzen!T82,IF(AND(F$12="z"),Grundtoleranzen!U82,IF(AND(F$12="za"),Grundtoleranzen!V82,IF(AND(F$12="zb"),Grundtoleranzen!W82,IF(AND(F$12="zc"),Grundtoleranzen!X82))))))))))))</f>
        <v>#REF!</v>
      </c>
    </row>
    <row r="65" spans="8:18" x14ac:dyDescent="0.25">
      <c r="H65" s="24" t="s">
        <v>84</v>
      </c>
      <c r="I65" s="38" t="e">
        <f>IF(AND(F$8=1),Grundtoleranzen!B20,IF(AND(F$8=2),Grundtoleranzen!C20,IF(AND(F$8=3),Grundtoleranzen!D20,IF(AND(F$8=4),Grundtoleranzen!E20,IF(AND(F$8=5),Grundtoleranzen!F20,IF(AND(F$8=6),Grundtoleranzen!G20,IF(AND(F$8=7),Grundtoleranzen!H20,IF(AND(F$8=8),Grundtoleranzen!I20,IF(AND(F$8=9),Grundtoleranzen!J20,IF(AND(F$8=10),Grundtoleranzen!K20,IF(AND(F$8=11),Grundtoleranzen!L20,IF(AND(F$8=12),Grundtoleranzen!M20,IF(AND(F$8=13),Grundtoleranzen!N20,IF(AND(F$8=14),Grundtoleranzen!O20,IF(AND(F$8=15),Grundtoleranzen!P20,IF(AND(F$8=16),Grundtoleranzen!Q20,IF(AND(F$8=17),Grundtoleranzen!R20,IF(AND(F$8=18),Grundtoleranzen!S20))))))))))))))))))</f>
        <v>#REF!</v>
      </c>
      <c r="K65" s="24" t="s">
        <v>140</v>
      </c>
      <c r="L65" s="68" t="e">
        <f>IF(AND(F$12="c"),Grundtoleranzen!B83,IF(AND(F$12="d"),Grundtoleranzen!C83,IF(AND(F$12="e"),Grundtoleranzen!D83,IF(AND(F$12="f"),Grundtoleranzen!E83,IF(AND(F$12="g"),Grundtoleranzen!F83,IF(AND(F$12="h"),Grundtoleranzen!G83))))))</f>
        <v>#REF!</v>
      </c>
      <c r="M65" s="24" t="s">
        <v>83</v>
      </c>
      <c r="N65" s="70" t="e">
        <f>IF(AND(F$12="js",F$8=1),(Grundtoleranzen!B19)/2,IF(AND(F$12="js",F$8=2),(Grundtoleranzen!C19)/2,IF(AND(F$12="js",F$8=3),(Grundtoleranzen!D19)/2,IF(AND(F$12="js",F$8=4),(Grundtoleranzen!E19)/2,IF(AND(F$12="js",F$8=5),(Grundtoleranzen!F19)/2,IF(AND(F$12="js",F$8=6),(Grundtoleranzen!G19)/2,IF(AND(F$12="js",F$8=7),(Grundtoleranzen!H19)/2,IF(AND(F$12="js",F$8=8),(Grundtoleranzen!I19)/2,IF(AND(F$12="js",F$8=9),(Grundtoleranzen!J19)/2,IF(AND(F$12="js",F$8=10),(Grundtoleranzen!K19)/2,IF(AND(F$12="js",F$8=11),(Grundtoleranzen!L19)/2,IF(AND(F$12="js",F$8=12),(Grundtoleranzen!M19)/2,IF(AND(F$12="js",F$8=13),(Grundtoleranzen!N19)/2,IF(AND(F$12="js",F$8=14),(Grundtoleranzen!O19)/2,IF(AND(F$12="js",F$8=15),(Grundtoleranzen!P19)/2,IF(AND(F$12="js",F$8=16),(Grundtoleranzen!Q19)/2,IF(AND(F$12="js",F$8=17),(Grundtoleranzen!R19)/2,IF(AND(F$12="js",F$8=18),(Grundtoleranzen!S19)/2))))))))))))))))))*-1</f>
        <v>#REF!</v>
      </c>
      <c r="P65" s="70" t="e">
        <f>IF(AND(F$12="j",F$8=5),(Grundtoleranzen!I83),IF(AND(F$12="j",F$8=6),(Grundtoleranzen!I83),IF(AND(F$12="j",F$8=7),(Grundtoleranzen!J83),"Nur IT5-7")))</f>
        <v>#REF!</v>
      </c>
      <c r="Q65" s="70" t="e">
        <f>IF(AND($F$12="k",$F$8=1),"Nur IT 4-18",IF(AND($F$12="k",$F$8=2),"Nur IT 4-18",IF(AND($F$12="k",$F$8=3),"Nur IT 4-18",IF(AND($F$12="k",$F$8=4),(Grundtoleranzen!K83),IF(AND($F$12="k",$F$8=5),(Grundtoleranzen!K83),IF(AND($F$12="k",$F$8=6),(Grundtoleranzen!K83),(Grundtoleranzen!L83)))))))</f>
        <v>#REF!</v>
      </c>
      <c r="R65" s="70" t="e">
        <f>IF(AND(F$12="m"),Grundtoleranzen!M83,IF(AND(F$12="n"),Grundtoleranzen!N83,IF(AND(F$12="p"),Grundtoleranzen!O83,IF(AND(F$12="r"),Grundtoleranzen!P83,IF(AND(F$12="s"),Grundtoleranzen!Q83,IF(AND(F$12="t"),Grundtoleranzen!R83,IF(AND(F$12="u"),Grundtoleranzen!S83,IF(AND(F$12="x"),Grundtoleranzen!T83,IF(AND(F$12="z"),Grundtoleranzen!U83,IF(AND(F$12="za"),Grundtoleranzen!V83,IF(AND(F$12="zb"),Grundtoleranzen!W83,IF(AND(F$12="zc"),Grundtoleranzen!X83))))))))))))</f>
        <v>#REF!</v>
      </c>
    </row>
    <row r="66" spans="8:18" x14ac:dyDescent="0.25">
      <c r="H66" s="24" t="s">
        <v>85</v>
      </c>
      <c r="I66" s="38" t="e">
        <f>IF(AND(F$8=1),Grundtoleranzen!B21,IF(AND(F$8=2),Grundtoleranzen!C21,IF(AND(F$8=3),Grundtoleranzen!D21,IF(AND(F$8=4),Grundtoleranzen!E21,IF(AND(F$8=5),Grundtoleranzen!F21,IF(AND(F$8=6),Grundtoleranzen!G21,IF(AND(F$8=7),Grundtoleranzen!H21,IF(AND(F$8=8),Grundtoleranzen!I21,IF(AND(F$8=9),Grundtoleranzen!J21,IF(AND(F$8=10),Grundtoleranzen!K21,IF(AND(F$8=11),Grundtoleranzen!L21,IF(AND(F$8=12),Grundtoleranzen!M21,IF(AND(F$8=13),Grundtoleranzen!N21,IF(AND(F$8=14),Grundtoleranzen!O21,IF(AND(F$8=15),Grundtoleranzen!P21,IF(AND(F$8=16),Grundtoleranzen!Q21,IF(AND(F$8=17),Grundtoleranzen!R21,IF(AND(F$8=18),Grundtoleranzen!S21))))))))))))))))))</f>
        <v>#REF!</v>
      </c>
      <c r="K66" s="24" t="s">
        <v>141</v>
      </c>
      <c r="L66" s="68" t="e">
        <f>IF(AND(F$12="c"),Grundtoleranzen!B84,IF(AND(F$12="d"),Grundtoleranzen!C84,IF(AND(F$12="e"),Grundtoleranzen!D84,IF(AND(F$12="f"),Grundtoleranzen!E84,IF(AND(F$12="g"),Grundtoleranzen!F84,IF(AND(F$12="h"),Grundtoleranzen!G84))))))</f>
        <v>#REF!</v>
      </c>
      <c r="M66" s="24" t="s">
        <v>84</v>
      </c>
      <c r="N66" s="70" t="e">
        <f>IF(AND(F$12="js",F$8=1),(Grundtoleranzen!B20)/2,IF(AND(F$12="js",F$8=2),(Grundtoleranzen!C20)/2,IF(AND(F$12="js",F$8=3),(Grundtoleranzen!D20)/2,IF(AND(F$12="js",F$8=4),(Grundtoleranzen!E20)/2,IF(AND(F$12="js",F$8=5),(Grundtoleranzen!F20)/2,IF(AND(F$12="js",F$8=6),(Grundtoleranzen!G20)/2,IF(AND(F$12="js",F$8=7),(Grundtoleranzen!H20)/2,IF(AND(F$12="js",F$8=8),(Grundtoleranzen!I20)/2,IF(AND(F$12="js",F$8=9),(Grundtoleranzen!J20)/2,IF(AND(F$12="js",F$8=10),(Grundtoleranzen!K20)/2,IF(AND(F$12="js",F$8=11),(Grundtoleranzen!L20)/2,IF(AND(F$12="js",F$8=12),(Grundtoleranzen!M20)/2,IF(AND(F$12="js",F$8=13),(Grundtoleranzen!N20)/2,IF(AND(F$12="js",F$8=14),(Grundtoleranzen!O20)/2,IF(AND(F$12="js",F$8=15),(Grundtoleranzen!P20)/2,IF(AND(F$12="js",F$8=16),(Grundtoleranzen!Q20)/2,IF(AND(F$12="js",F$8=17),(Grundtoleranzen!R20)/2,IF(AND(F$12="js",F$8=18),(Grundtoleranzen!S20)/2))))))))))))))))))*-1</f>
        <v>#REF!</v>
      </c>
      <c r="P66" s="70" t="e">
        <f>IF(AND(F$12="j",F$8=5),(Grundtoleranzen!I84),IF(AND(F$12="j",F$8=6),(Grundtoleranzen!I84),IF(AND(F$12="j",F$8=7),(Grundtoleranzen!J84),"Nur IT5-7")))</f>
        <v>#REF!</v>
      </c>
      <c r="Q66" s="70" t="e">
        <f>IF(AND($F$12="k",$F$8=1),"Nur IT 4-18",IF(AND($F$12="k",$F$8=2),"Nur IT 4-18",IF(AND($F$12="k",$F$8=3),"Nur IT 4-18",IF(AND($F$12="k",$F$8=4),(Grundtoleranzen!K84),IF(AND($F$12="k",$F$8=5),(Grundtoleranzen!K84),IF(AND($F$12="k",$F$8=6),(Grundtoleranzen!K84),(Grundtoleranzen!L84)))))))</f>
        <v>#REF!</v>
      </c>
      <c r="R66" s="70" t="e">
        <f>IF(AND(F$12="m"),Grundtoleranzen!M84,IF(AND(F$12="n"),Grundtoleranzen!N84,IF(AND(F$12="p"),Grundtoleranzen!O84,IF(AND(F$12="r"),Grundtoleranzen!P84,IF(AND(F$12="s"),Grundtoleranzen!Q84,IF(AND(F$12="t"),Grundtoleranzen!R84,IF(AND(F$12="u"),Grundtoleranzen!S84,IF(AND(F$12="x"),Grundtoleranzen!T84,IF(AND(F$12="z"),Grundtoleranzen!U84,IF(AND(F$12="za"),Grundtoleranzen!V84,IF(AND(F$12="zb"),Grundtoleranzen!W84,IF(AND(F$12="zc"),Grundtoleranzen!X84))))))))))))</f>
        <v>#REF!</v>
      </c>
    </row>
    <row r="67" spans="8:18" x14ac:dyDescent="0.25">
      <c r="H67" s="25" t="s">
        <v>86</v>
      </c>
      <c r="I67" s="38" t="e">
        <f>IF(AND(F$8=1),Grundtoleranzen!B22,IF(AND(F$8=2),Grundtoleranzen!C22,IF(AND(F$8=3),Grundtoleranzen!D22,IF(AND(F$8=4),Grundtoleranzen!E22,IF(AND(F$8=5),Grundtoleranzen!F22,IF(AND(F$8=6),Grundtoleranzen!G22,IF(AND(F$8=7),Grundtoleranzen!H22,IF(AND(F$8=8),Grundtoleranzen!I22,IF(AND(F$8=9),Grundtoleranzen!J22,IF(AND(F$8=10),Grundtoleranzen!K22,IF(AND(F$8=11),Grundtoleranzen!L22,IF(AND(F$8=12),Grundtoleranzen!M22,IF(AND(F$8=13),Grundtoleranzen!N22,IF(AND(F$8=14),Grundtoleranzen!O22,IF(AND(F$8=15),Grundtoleranzen!P22,IF(AND(F$8=16),Grundtoleranzen!Q22,IF(AND(F$8=17),Grundtoleranzen!R22,IF(AND(F$8=18),Grundtoleranzen!S22))))))))))))))))))</f>
        <v>#REF!</v>
      </c>
      <c r="K67" s="24" t="s">
        <v>142</v>
      </c>
      <c r="L67" s="68" t="e">
        <f>IF(AND(F$12="c"),Grundtoleranzen!B85,IF(AND(F$12="d"),Grundtoleranzen!C85,IF(AND(F$12="e"),Grundtoleranzen!D85,IF(AND(F$12="f"),Grundtoleranzen!E85,IF(AND(F$12="g"),Grundtoleranzen!F85,IF(AND(F$12="h"),Grundtoleranzen!G85))))))</f>
        <v>#REF!</v>
      </c>
      <c r="M67" s="24" t="s">
        <v>85</v>
      </c>
      <c r="N67" s="70" t="e">
        <f>IF(AND(F$12="js",F$8=1),(Grundtoleranzen!B21)/2,IF(AND(F$12="js",F$8=2),(Grundtoleranzen!C21)/2,IF(AND(F$12="js",F$8=3),(Grundtoleranzen!D21)/2,IF(AND(F$12="js",F$8=4),(Grundtoleranzen!E21)/2,IF(AND(F$12="js",F$8=5),(Grundtoleranzen!F21)/2,IF(AND(F$12="js",F$8=6),(Grundtoleranzen!G21)/2,IF(AND(F$12="js",F$8=7),(Grundtoleranzen!H21)/2,IF(AND(F$12="js",F$8=8),(Grundtoleranzen!I21)/2,IF(AND(F$12="js",F$8=9),(Grundtoleranzen!J21)/2,IF(AND(F$12="js",F$8=10),(Grundtoleranzen!K21)/2,IF(AND(F$12="js",F$8=11),(Grundtoleranzen!L21)/2,IF(AND(F$12="js",F$8=12),(Grundtoleranzen!M21)/2,IF(AND(F$12="js",F$8=13),(Grundtoleranzen!N21)/2,IF(AND(F$12="js",F$8=14),(Grundtoleranzen!O21)/2,IF(AND(F$12="js",F$8=15),(Grundtoleranzen!P21)/2,IF(AND(F$12="js",F$8=16),(Grundtoleranzen!Q21)/2,IF(AND(F$12="js",F$8=17),(Grundtoleranzen!R21)/2,IF(AND(F$12="js",F$8=18),(Grundtoleranzen!S21)/2))))))))))))))))))*-1</f>
        <v>#REF!</v>
      </c>
      <c r="P67" s="70" t="e">
        <f>IF(AND(F$12="j",F$8=5),(Grundtoleranzen!I85),IF(AND(F$12="j",F$8=6),(Grundtoleranzen!I85),IF(AND(F$12="j",F$8=7),(Grundtoleranzen!J85),"Nur IT5-7")))</f>
        <v>#REF!</v>
      </c>
      <c r="Q67" s="70" t="e">
        <f>IF(AND($F$12="k",$F$8=1),"Nur IT 4-18",IF(AND($F$12="k",$F$8=2),"Nur IT 4-18",IF(AND($F$12="k",$F$8=3),"Nur IT 4-18",IF(AND($F$12="k",$F$8=4),(Grundtoleranzen!K85),IF(AND($F$12="k",$F$8=5),(Grundtoleranzen!K85),IF(AND($F$12="k",$F$8=6),(Grundtoleranzen!K85),(Grundtoleranzen!L85)))))))</f>
        <v>#REF!</v>
      </c>
      <c r="R67" s="70" t="e">
        <f>IF(AND(F$12="m"),Grundtoleranzen!M85,IF(AND(F$12="n"),Grundtoleranzen!N85,IF(AND(F$12="p"),Grundtoleranzen!O85,IF(AND(F$12="r"),Grundtoleranzen!P85,IF(AND(F$12="s"),Grundtoleranzen!Q85,IF(AND(F$12="t"),Grundtoleranzen!R85,IF(AND(F$12="u"),Grundtoleranzen!S85,IF(AND(F$12="x"),Grundtoleranzen!T85,IF(AND(F$12="z"),Grundtoleranzen!U85,IF(AND(F$12="za"),Grundtoleranzen!V85,IF(AND(F$12="zb"),Grundtoleranzen!W85,IF(AND(F$12="zc"),Grundtoleranzen!X85))))))))))))</f>
        <v>#REF!</v>
      </c>
    </row>
    <row r="68" spans="8:18" x14ac:dyDescent="0.25">
      <c r="H68" s="25" t="s">
        <v>87</v>
      </c>
      <c r="I68" s="38" t="e">
        <f>IF(AND(F$8=1),Grundtoleranzen!B23,IF(AND(F$8=2),Grundtoleranzen!C23,IF(AND(F$8=3),Grundtoleranzen!D23,IF(AND(F$8=4),Grundtoleranzen!E23,IF(AND(F$8=5),Grundtoleranzen!F23,IF(AND(F$8=6),Grundtoleranzen!G23,IF(AND(F$8=7),Grundtoleranzen!H23,IF(AND(F$8=8),Grundtoleranzen!I23,IF(AND(F$8=9),Grundtoleranzen!J23,IF(AND(F$8=10),Grundtoleranzen!K23,IF(AND(F$8=11),Grundtoleranzen!L23,IF(AND(F$8=12),Grundtoleranzen!M23,IF(AND(F$8=13),Grundtoleranzen!N23,IF(AND(F$8=14),Grundtoleranzen!O23,IF(AND(F$8=15),Grundtoleranzen!P23,IF(AND(F$8=16),Grundtoleranzen!Q23,IF(AND(F$8=17),Grundtoleranzen!R23,IF(AND(F$8=18),Grundtoleranzen!S23))))))))))))))))))</f>
        <v>#REF!</v>
      </c>
      <c r="K68" s="24" t="s">
        <v>143</v>
      </c>
      <c r="L68" s="68" t="e">
        <f>IF(AND(F$12="c"),Grundtoleranzen!B86,IF(AND(F$12="d"),Grundtoleranzen!C86,IF(AND(F$12="e"),Grundtoleranzen!D86,IF(AND(F$12="f"),Grundtoleranzen!E86,IF(AND(F$12="g"),Grundtoleranzen!F86,IF(AND(F$12="h"),Grundtoleranzen!G86))))))</f>
        <v>#REF!</v>
      </c>
      <c r="M68" s="25" t="s">
        <v>86</v>
      </c>
      <c r="N68" s="70" t="e">
        <f>IF(AND(F$12="js",F$8=1),(Grundtoleranzen!B22)/2,IF(AND(F$12="js",F$8=2),(Grundtoleranzen!C22)/2,IF(AND(F$12="js",F$8=3),(Grundtoleranzen!D22)/2,IF(AND(F$12="js",F$8=4),(Grundtoleranzen!E22)/2,IF(AND(F$12="js",F$8=5),(Grundtoleranzen!F22)/2,IF(AND(F$12="js",F$8=6),(Grundtoleranzen!G22)/2,IF(AND(F$12="js",F$8=7),(Grundtoleranzen!H22)/2,IF(AND(F$12="js",F$8=8),(Grundtoleranzen!I22)/2,IF(AND(F$12="js",F$8=9),(Grundtoleranzen!J22)/2,IF(AND(F$12="js",F$8=10),(Grundtoleranzen!K22)/2,IF(AND(F$12="js",F$8=11),(Grundtoleranzen!L22)/2,IF(AND(F$12="js",F$8=12),(Grundtoleranzen!M22)/2,IF(AND(F$12="js",F$8=13),(Grundtoleranzen!N22)/2,IF(AND(F$12="js",F$8=14),(Grundtoleranzen!O22)/2,IF(AND(F$12="js",F$8=15),(Grundtoleranzen!P22)/2,IF(AND(F$12="js",F$8=16),(Grundtoleranzen!Q22)/2,IF(AND(F$12="js",F$8=17),(Grundtoleranzen!R22)/2,IF(AND(F$12="js",F$8=18),(Grundtoleranzen!S22)/2))))))))))))))))))*-1</f>
        <v>#REF!</v>
      </c>
      <c r="P68" s="70" t="e">
        <f>IF(AND(F$12="j",F$8=5),(Grundtoleranzen!I86),IF(AND(F$12="j",F$8=6),(Grundtoleranzen!I86),IF(AND(F$12="j",F$8=7),(Grundtoleranzen!J86),"Nur IT5-7")))</f>
        <v>#REF!</v>
      </c>
      <c r="Q68" s="70" t="e">
        <f>IF(AND($F$12="k",$F$8=1),"Nur IT 4-18",IF(AND($F$12="k",$F$8=2),"Nur IT 4-18",IF(AND($F$12="k",$F$8=3),"Nur IT 4-18",IF(AND($F$12="k",$F$8=4),(Grundtoleranzen!K86),IF(AND($F$12="k",$F$8=5),(Grundtoleranzen!K86),IF(AND($F$12="k",$F$8=6),(Grundtoleranzen!K86),(Grundtoleranzen!L86)))))))</f>
        <v>#REF!</v>
      </c>
      <c r="R68" s="70" t="e">
        <f>IF(AND(F$12="m"),Grundtoleranzen!M86,IF(AND(F$12="n"),Grundtoleranzen!N86,IF(AND(F$12="p"),Grundtoleranzen!O86,IF(AND(F$12="r"),Grundtoleranzen!P86,IF(AND(F$12="s"),Grundtoleranzen!Q86,IF(AND(F$12="t"),Grundtoleranzen!R86,IF(AND(F$12="u"),Grundtoleranzen!S86,IF(AND(F$12="x"),Grundtoleranzen!T86,IF(AND(F$12="z"),Grundtoleranzen!U86,IF(AND(F$12="za"),Grundtoleranzen!V86,IF(AND(F$12="zb"),Grundtoleranzen!W86,IF(AND(F$12="zc"),Grundtoleranzen!X86))))))))))))</f>
        <v>#REF!</v>
      </c>
    </row>
    <row r="69" spans="8:18" x14ac:dyDescent="0.25">
      <c r="H69" s="25" t="s">
        <v>88</v>
      </c>
      <c r="I69" s="38" t="e">
        <f>IF(AND(F$8=1),Grundtoleranzen!B24,IF(AND(F$8=2),Grundtoleranzen!C24,IF(AND(F$8=3),Grundtoleranzen!D24,IF(AND(F$8=4),Grundtoleranzen!E24,IF(AND(F$8=5),Grundtoleranzen!F24,IF(AND(F$8=6),Grundtoleranzen!G24,IF(AND(F$8=7),Grundtoleranzen!H24,IF(AND(F$8=8),Grundtoleranzen!I24,IF(AND(F$8=9),Grundtoleranzen!J24,IF(AND(F$8=10),Grundtoleranzen!K24,IF(AND(F$8=11),Grundtoleranzen!L24,IF(AND(F$8=12),Grundtoleranzen!M24,IF(AND(F$8=13),Grundtoleranzen!N24,IF(AND(F$8=14),Grundtoleranzen!O24,IF(AND(F$8=15),Grundtoleranzen!P24,IF(AND(F$8=16),Grundtoleranzen!Q24,IF(AND(F$8=17),Grundtoleranzen!R24,IF(AND(F$8=18),Grundtoleranzen!S24))))))))))))))))))</f>
        <v>#REF!</v>
      </c>
      <c r="K69" s="24" t="s">
        <v>144</v>
      </c>
      <c r="L69" s="68" t="e">
        <f>IF(AND(F$12="c"),Grundtoleranzen!B87,IF(AND(F$12="d"),Grundtoleranzen!C87,IF(AND(F$12="e"),Grundtoleranzen!D87,IF(AND(F$12="f"),Grundtoleranzen!E87,IF(AND(F$12="g"),Grundtoleranzen!F87,IF(AND(F$12="h"),Grundtoleranzen!G87))))))</f>
        <v>#REF!</v>
      </c>
      <c r="M69" s="25" t="s">
        <v>87</v>
      </c>
      <c r="N69" s="70" t="e">
        <f>IF(AND(F$12="js",F$8=1),(Grundtoleranzen!B23)/2,IF(AND(F$12="js",F$8=2),(Grundtoleranzen!C23)/2,IF(AND(F$12="js",F$8=3),(Grundtoleranzen!D23)/2,IF(AND(F$12="js",F$8=4),(Grundtoleranzen!E23)/2,IF(AND(F$12="js",F$8=5),(Grundtoleranzen!F23)/2,IF(AND(F$12="js",F$8=6),(Grundtoleranzen!G23)/2,IF(AND(F$12="js",F$8=7),(Grundtoleranzen!H23)/2,IF(AND(F$12="js",F$8=8),(Grundtoleranzen!I23)/2,IF(AND(F$12="js",F$8=9),(Grundtoleranzen!J23)/2,IF(AND(F$12="js",F$8=10),(Grundtoleranzen!K23)/2,IF(AND(F$12="js",F$8=11),(Grundtoleranzen!L23)/2,IF(AND(F$12="js",F$8=12),(Grundtoleranzen!M23)/2,IF(AND(F$12="js",F$8=13),(Grundtoleranzen!N23)/2,IF(AND(F$12="js",F$8=14),(Grundtoleranzen!O23)/2,IF(AND(F$12="js",F$8=15),(Grundtoleranzen!P23)/2,IF(AND(F$12="js",F$8=16),(Grundtoleranzen!Q23)/2,IF(AND(F$12="js",F$8=17),(Grundtoleranzen!R23)/2,IF(AND(F$12="js",F$8=18),(Grundtoleranzen!S23)/2))))))))))))))))))*-1</f>
        <v>#REF!</v>
      </c>
      <c r="P69" s="70" t="e">
        <f>IF(AND(F$12="j",F$8=5),(Grundtoleranzen!I87),IF(AND(F$12="j",F$8=6),(Grundtoleranzen!I87),IF(AND(F$12="j",F$8=7),(Grundtoleranzen!J87),"Nur IT5-7")))</f>
        <v>#REF!</v>
      </c>
      <c r="Q69" s="70" t="e">
        <f>IF(AND($F$12="k",$F$8=1),"Nur IT 4-18",IF(AND($F$12="k",$F$8=2),"Nur IT 4-18",IF(AND($F$12="k",$F$8=3),"Nur IT 4-18",IF(AND($F$12="k",$F$8=4),(Grundtoleranzen!K87),IF(AND($F$12="k",$F$8=5),(Grundtoleranzen!K87),IF(AND($F$12="k",$F$8=6),(Grundtoleranzen!K87),(Grundtoleranzen!L87)))))))</f>
        <v>#REF!</v>
      </c>
      <c r="R69" s="70" t="e">
        <f>IF(AND(F$12="m"),Grundtoleranzen!M87,IF(AND(F$12="n"),Grundtoleranzen!N87,IF(AND(F$12="p"),Grundtoleranzen!O87,IF(AND(F$12="r"),Grundtoleranzen!P87,IF(AND(F$12="s"),Grundtoleranzen!Q87,IF(AND(F$12="t"),Grundtoleranzen!R87,IF(AND(F$12="u"),Grundtoleranzen!S87,IF(AND(F$12="x"),Grundtoleranzen!T87,IF(AND(F$12="z"),Grundtoleranzen!U87,IF(AND(F$12="za"),Grundtoleranzen!V87,IF(AND(F$12="zb"),Grundtoleranzen!W87,IF(AND(F$12="zc"),Grundtoleranzen!X87))))))))))))</f>
        <v>#REF!</v>
      </c>
    </row>
    <row r="70" spans="8:18" x14ac:dyDescent="0.25">
      <c r="H70" s="25" t="s">
        <v>89</v>
      </c>
      <c r="I70" s="38" t="e">
        <f>IF(AND(F$8=1),Grundtoleranzen!B25,IF(AND(F$8=2),Grundtoleranzen!C25,IF(AND(F$8=3),Grundtoleranzen!D25,IF(AND(F$8=4),Grundtoleranzen!E25,IF(AND(F$8=5),Grundtoleranzen!F25,IF(AND(F$8=6),Grundtoleranzen!G25,IF(AND(F$8=7),Grundtoleranzen!H25,IF(AND(F$8=8),Grundtoleranzen!I25,IF(AND(F$8=9),Grundtoleranzen!J25,IF(AND(F$8=10),Grundtoleranzen!K25,IF(AND(F$8=11),Grundtoleranzen!L25,IF(AND(F$8=12),Grundtoleranzen!M25,IF(AND(F$8=13),Grundtoleranzen!N25,IF(AND(F$8=14),Grundtoleranzen!O25,IF(AND(F$8=15),Grundtoleranzen!P25,IF(AND(F$8=16),Grundtoleranzen!Q25,IF(AND(F$8=17),Grundtoleranzen!R25,IF(AND(F$8=18),Grundtoleranzen!S25))))))))))))))))))</f>
        <v>#REF!</v>
      </c>
      <c r="K70" s="24" t="s">
        <v>145</v>
      </c>
      <c r="L70" s="68" t="e">
        <f>IF(AND(F$12="c"),Grundtoleranzen!B88,IF(AND(F$12="d"),Grundtoleranzen!C88,IF(AND(F$12="e"),Grundtoleranzen!D88,IF(AND(F$12="f"),Grundtoleranzen!E88,IF(AND(F$12="g"),Grundtoleranzen!F88,IF(AND(F$12="h"),Grundtoleranzen!G88))))))</f>
        <v>#REF!</v>
      </c>
      <c r="M70" s="25" t="s">
        <v>88</v>
      </c>
      <c r="N70" s="70" t="e">
        <f>IF(AND(F$12="js",F$8=1),(Grundtoleranzen!B24)/2,IF(AND(F$12="js",F$8=2),(Grundtoleranzen!C24)/2,IF(AND(F$12="js",F$8=3),(Grundtoleranzen!D24)/2,IF(AND(F$12="js",F$8=4),(Grundtoleranzen!E24)/2,IF(AND(F$12="js",F$8=5),(Grundtoleranzen!F24)/2,IF(AND(F$12="js",F$8=6),(Grundtoleranzen!G24)/2,IF(AND(F$12="js",F$8=7),(Grundtoleranzen!H24)/2,IF(AND(F$12="js",F$8=8),(Grundtoleranzen!I24)/2,IF(AND(F$12="js",F$8=9),(Grundtoleranzen!J24)/2,IF(AND(F$12="js",F$8=10),(Grundtoleranzen!K24)/2,IF(AND(F$12="js",F$8=11),(Grundtoleranzen!L24)/2,IF(AND(F$12="js",F$8=12),(Grundtoleranzen!M24)/2,IF(AND(F$12="js",F$8=13),(Grundtoleranzen!N24)/2,IF(AND(F$12="js",F$8=14),(Grundtoleranzen!O24)/2,IF(AND(F$12="js",F$8=15),(Grundtoleranzen!P24)/2,IF(AND(F$12="js",F$8=16),(Grundtoleranzen!Q24)/2,IF(AND(F$12="js",F$8=17),(Grundtoleranzen!R24)/2,IF(AND(F$12="js",F$8=18),(Grundtoleranzen!S24)/2))))))))))))))))))*-1</f>
        <v>#REF!</v>
      </c>
      <c r="P70" s="70" t="e">
        <f>IF(AND(F$12="j",F$8=5),(Grundtoleranzen!I88),IF(AND(F$12="j",F$8=6),(Grundtoleranzen!I88),IF(AND(F$12="j",F$8=7),(Grundtoleranzen!J88),"Nur IT5-7")))</f>
        <v>#REF!</v>
      </c>
      <c r="Q70" s="70" t="e">
        <f>IF(AND($F$12="k",$F$8=1),"Nur IT 4-18",IF(AND($F$12="k",$F$8=2),"Nur IT 4-18",IF(AND($F$12="k",$F$8=3),"Nur IT 4-18",IF(AND($F$12="k",$F$8=4),(Grundtoleranzen!K88),IF(AND($F$12="k",$F$8=5),(Grundtoleranzen!K88),IF(AND($F$12="k",$F$8=6),(Grundtoleranzen!K88),(Grundtoleranzen!L88)))))))</f>
        <v>#REF!</v>
      </c>
      <c r="R70" s="70" t="e">
        <f>IF(AND(F$12="m"),Grundtoleranzen!M88,IF(AND(F$12="n"),Grundtoleranzen!N88,IF(AND(F$12="p"),Grundtoleranzen!O88,IF(AND(F$12="r"),Grundtoleranzen!P88,IF(AND(F$12="s"),Grundtoleranzen!Q88,IF(AND(F$12="t"),Grundtoleranzen!R88,IF(AND(F$12="u"),Grundtoleranzen!S88,IF(AND(F$12="x"),Grundtoleranzen!T88,IF(AND(F$12="z"),Grundtoleranzen!U88,IF(AND(F$12="za"),Grundtoleranzen!V88,IF(AND(F$12="zb"),Grundtoleranzen!W88,IF(AND(F$12="zc"),Grundtoleranzen!X88))))))))))))</f>
        <v>#REF!</v>
      </c>
    </row>
    <row r="71" spans="8:18" ht="15.75" thickBot="1" x14ac:dyDescent="0.3">
      <c r="H71" s="26" t="s">
        <v>90</v>
      </c>
      <c r="I71" s="38" t="e">
        <f>IF(AND(F$8=1),Grundtoleranzen!B26,IF(AND(F$8=2),Grundtoleranzen!C26,IF(AND(F$8=3),Grundtoleranzen!D26,IF(AND(F$8=4),Grundtoleranzen!E26,IF(AND(F$8=5),Grundtoleranzen!F26,IF(AND(F$8=6),Grundtoleranzen!G26,IF(AND(F$8=7),Grundtoleranzen!H26,IF(AND(F$8=8),Grundtoleranzen!I26,IF(AND(F$8=9),Grundtoleranzen!J26,IF(AND(F$8=10),Grundtoleranzen!K26,IF(AND(F$8=11),Grundtoleranzen!L26,IF(AND(F$8=12),Grundtoleranzen!M26,IF(AND(F$8=13),Grundtoleranzen!N26,IF(AND(F$8=14),Grundtoleranzen!O26,IF(AND(F$8=15),Grundtoleranzen!P26,IF(AND(F$8=16),Grundtoleranzen!Q26,IF(AND(F$8=17),Grundtoleranzen!R26,IF(AND(F$8=18),Grundtoleranzen!S26))))))))))))))))))</f>
        <v>#REF!</v>
      </c>
      <c r="K71" s="24" t="s">
        <v>146</v>
      </c>
      <c r="L71" s="68" t="e">
        <f>IF(AND(F$12="c"),Grundtoleranzen!B89,IF(AND(F$12="d"),Grundtoleranzen!C89,IF(AND(F$12="e"),Grundtoleranzen!D89,IF(AND(F$12="f"),Grundtoleranzen!E89,IF(AND(F$12="g"),Grundtoleranzen!F89,IF(AND(F$12="h"),Grundtoleranzen!G89))))))</f>
        <v>#REF!</v>
      </c>
      <c r="M71" s="25" t="s">
        <v>89</v>
      </c>
      <c r="N71" s="70" t="e">
        <f>IF(AND(F$12="js",F$8=1),(Grundtoleranzen!B25)/2,IF(AND(F$12="js",F$8=2),(Grundtoleranzen!C25)/2,IF(AND(F$12="js",F$8=3),(Grundtoleranzen!D25)/2,IF(AND(F$12="js",F$8=4),(Grundtoleranzen!E25)/2,IF(AND(F$12="js",F$8=5),(Grundtoleranzen!F25)/2,IF(AND(F$12="js",F$8=6),(Grundtoleranzen!G25)/2,IF(AND(F$12="js",F$8=7),(Grundtoleranzen!H25)/2,IF(AND(F$12="js",F$8=8),(Grundtoleranzen!I25)/2,IF(AND(F$12="js",F$8=9),(Grundtoleranzen!J25)/2,IF(AND(F$12="js",F$8=10),(Grundtoleranzen!K25)/2,IF(AND(F$12="js",F$8=11),(Grundtoleranzen!L25)/2,IF(AND(F$12="js",F$8=12),(Grundtoleranzen!M25)/2,IF(AND(F$12="js",F$8=13),(Grundtoleranzen!N25)/2,IF(AND(F$12="js",F$8=14),(Grundtoleranzen!O25)/2,IF(AND(F$12="js",F$8=15),(Grundtoleranzen!P25)/2,IF(AND(F$12="js",F$8=16),(Grundtoleranzen!Q25)/2,IF(AND(F$12="js",F$8=17),(Grundtoleranzen!R25)/2,IF(AND(F$12="js",F$8=18),(Grundtoleranzen!S25)/2))))))))))))))))))*-1</f>
        <v>#REF!</v>
      </c>
      <c r="P71" s="70" t="e">
        <f>IF(AND(F$12="j",F$8=5),(Grundtoleranzen!I89),IF(AND(F$12="j",F$8=6),(Grundtoleranzen!I89),IF(AND(F$12="j",F$8=7),(Grundtoleranzen!J89),"Nur IT5-7")))</f>
        <v>#REF!</v>
      </c>
      <c r="Q71" s="70" t="e">
        <f>IF(AND($F$12="k",$F$8=1),"Nur IT 4-18",IF(AND($F$12="k",$F$8=2),"Nur IT 4-18",IF(AND($F$12="k",$F$8=3),"Nur IT 4-18",IF(AND($F$12="k",$F$8=4),(Grundtoleranzen!K89),IF(AND($F$12="k",$F$8=5),(Grundtoleranzen!K89),IF(AND($F$12="k",$F$8=6),(Grundtoleranzen!K89),(Grundtoleranzen!L89)))))))</f>
        <v>#REF!</v>
      </c>
      <c r="R71" s="70" t="e">
        <f>IF(AND(F$12="m"),Grundtoleranzen!M89,IF(AND(F$12="n"),Grundtoleranzen!N89,IF(AND(F$12="p"),Grundtoleranzen!O89,IF(AND(F$12="r"),Grundtoleranzen!P89,IF(AND(F$12="s"),Grundtoleranzen!Q89,IF(AND(F$12="t"),Grundtoleranzen!R89,IF(AND(F$12="u"),Grundtoleranzen!S89,IF(AND(F$12="x"),Grundtoleranzen!T89,IF(AND(F$12="z"),Grundtoleranzen!U89,IF(AND(F$12="za"),Grundtoleranzen!V89,IF(AND(F$12="zb"),Grundtoleranzen!W89,IF(AND(F$12="zc"),Grundtoleranzen!X89))))))))))))</f>
        <v>#REF!</v>
      </c>
    </row>
    <row r="72" spans="8:18" ht="15.75" thickBot="1" x14ac:dyDescent="0.3">
      <c r="K72" s="24" t="s">
        <v>147</v>
      </c>
      <c r="L72" s="68" t="e">
        <f>IF(AND(F$12="c"),Grundtoleranzen!B90,IF(AND(F$12="d"),Grundtoleranzen!C90,IF(AND(F$12="e"),Grundtoleranzen!D90,IF(AND(F$12="f"),Grundtoleranzen!E90,IF(AND(F$12="g"),Grundtoleranzen!F90,IF(AND(F$12="h"),Grundtoleranzen!G90))))))</f>
        <v>#REF!</v>
      </c>
      <c r="M72" s="26" t="s">
        <v>90</v>
      </c>
      <c r="N72" s="70" t="e">
        <f>IF(AND(F$12="js",F$8=1),(Grundtoleranzen!B26)/2,IF(AND(F$12="js",F$8=2),(Grundtoleranzen!C26)/2,IF(AND(F$12="js",F$8=3),(Grundtoleranzen!D26)/2,IF(AND(F$12="js",F$8=4),(Grundtoleranzen!E26)/2,IF(AND(F$12="js",F$8=5),(Grundtoleranzen!F26)/2,IF(AND(F$12="js",F$8=6),(Grundtoleranzen!G26)/2,IF(AND(F$12="js",F$8=7),(Grundtoleranzen!H26)/2,IF(AND(F$12="js",F$8=8),(Grundtoleranzen!I26)/2,IF(AND(F$12="js",F$8=9),(Grundtoleranzen!J26)/2,IF(AND(F$12="js",F$8=10),(Grundtoleranzen!K26)/2,IF(AND(F$12="js",F$8=11),(Grundtoleranzen!L26)/2,IF(AND(F$12="js",F$8=12),(Grundtoleranzen!M26)/2,IF(AND(F$12="js",F$8=13),(Grundtoleranzen!N26)/2,IF(AND(F$12="js",F$8=14),(Grundtoleranzen!O26)/2,IF(AND(F$12="js",F$8=15),(Grundtoleranzen!P26)/2,IF(AND(F$12="js",F$8=16),(Grundtoleranzen!Q26)/2,IF(AND(F$12="js",F$8=17),(Grundtoleranzen!R26)/2,IF(AND(F$12="js",F$8=18),(Grundtoleranzen!S26)/2))))))))))))))))))*-1</f>
        <v>#REF!</v>
      </c>
      <c r="P72" s="70" t="e">
        <f>IF(AND(F$12="j",F$8=5),(Grundtoleranzen!I90),IF(AND(F$12="j",F$8=6),(Grundtoleranzen!I90),IF(AND(F$12="j",F$8=7),(Grundtoleranzen!J90),"Nur IT5-7")))</f>
        <v>#REF!</v>
      </c>
      <c r="Q72" s="70" t="e">
        <f>IF(AND($F$12="k",$F$8=1),"Nur IT 4-18",IF(AND($F$12="k",$F$8=2),"Nur IT 4-18",IF(AND($F$12="k",$F$8=3),"Nur IT 4-18",IF(AND($F$12="k",$F$8=4),(Grundtoleranzen!K90),IF(AND($F$12="k",$F$8=5),(Grundtoleranzen!K90),IF(AND($F$12="k",$F$8=6),(Grundtoleranzen!K90),(Grundtoleranzen!L90)))))))</f>
        <v>#REF!</v>
      </c>
      <c r="R72" s="70" t="e">
        <f>IF(AND(F$12="m"),Grundtoleranzen!M90,IF(AND(F$12="n"),Grundtoleranzen!N90,IF(AND(F$12="p"),Grundtoleranzen!O90,IF(AND(F$12="r"),Grundtoleranzen!P90,IF(AND(F$12="s"),Grundtoleranzen!Q90,IF(AND(F$12="t"),Grundtoleranzen!R90,IF(AND(F$12="u"),Grundtoleranzen!S90,IF(AND(F$12="x"),Grundtoleranzen!T90,IF(AND(F$12="z"),Grundtoleranzen!U90,IF(AND(F$12="za"),Grundtoleranzen!V90,IF(AND(F$12="zb"),Grundtoleranzen!W90,IF(AND(F$12="zc"),Grundtoleranzen!X90))))))))))))</f>
        <v>#REF!</v>
      </c>
    </row>
    <row r="73" spans="8:18" x14ac:dyDescent="0.25">
      <c r="K73" s="24" t="s">
        <v>148</v>
      </c>
      <c r="L73" s="68" t="e">
        <f>IF(AND(F$12="c"),Grundtoleranzen!B91,IF(AND(F$12="d"),Grundtoleranzen!C91,IF(AND(F$12="e"),Grundtoleranzen!D91,IF(AND(F$12="f"),Grundtoleranzen!E91,IF(AND(F$12="g"),Grundtoleranzen!F91,IF(AND(F$12="h"),Grundtoleranzen!G91))))))</f>
        <v>#REF!</v>
      </c>
      <c r="P73" s="70" t="e">
        <f>IF(AND(F$12="j",F$8=5),(Grundtoleranzen!I91),IF(AND(F$12="j",F$8=6),(Grundtoleranzen!I91),IF(AND(F$12="j",F$8=7),(Grundtoleranzen!J91),"Nur IT5-7")))</f>
        <v>#REF!</v>
      </c>
      <c r="Q73" s="70" t="e">
        <f>IF(AND($F$12="k",$F$8=1),"Nur IT 4-18",IF(AND($F$12="k",$F$8=2),"Nur IT 4-18",IF(AND($F$12="k",$F$8=3),"Nur IT 4-18",IF(AND($F$12="k",$F$8=4),(Grundtoleranzen!K91),IF(AND($F$12="k",$F$8=5),(Grundtoleranzen!K91),IF(AND($F$12="k",$F$8=6),(Grundtoleranzen!K91),(Grundtoleranzen!L91)))))))</f>
        <v>#REF!</v>
      </c>
      <c r="R73" s="70" t="e">
        <f>IF(AND(F$12="m"),Grundtoleranzen!M91,IF(AND(F$12="n"),Grundtoleranzen!N91,IF(AND(F$12="p"),Grundtoleranzen!O91,IF(AND(F$12="r"),Grundtoleranzen!P91,IF(AND(F$12="s"),Grundtoleranzen!Q91,IF(AND(F$12="t"),Grundtoleranzen!R91,IF(AND(F$12="u"),Grundtoleranzen!S91,IF(AND(F$12="x"),Grundtoleranzen!T91,IF(AND(F$12="z"),Grundtoleranzen!U91,IF(AND(F$12="za"),Grundtoleranzen!V91,IF(AND(F$12="zb"),Grundtoleranzen!W91,IF(AND(F$12="zc"),Grundtoleranzen!X91))))))))))))</f>
        <v>#REF!</v>
      </c>
    </row>
    <row r="74" spans="8:18" x14ac:dyDescent="0.25">
      <c r="K74" s="24" t="s">
        <v>149</v>
      </c>
      <c r="L74" s="68" t="e">
        <f>IF(AND(F$12="c"),Grundtoleranzen!B92,IF(AND(F$12="d"),Grundtoleranzen!C92,IF(AND(F$12="e"),Grundtoleranzen!D92,IF(AND(F$12="f"),Grundtoleranzen!E92,IF(AND(F$12="g"),Grundtoleranzen!F92,IF(AND(F$12="h"),Grundtoleranzen!G92))))))</f>
        <v>#REF!</v>
      </c>
      <c r="P74" s="70" t="e">
        <f>IF(AND(F$12="j",F$8=5),(Grundtoleranzen!I92),IF(AND(F$12="j",F$8=6),(Grundtoleranzen!I92),IF(AND(F$12="j",F$8=7),(Grundtoleranzen!J92),"Nur IT5-7")))</f>
        <v>#REF!</v>
      </c>
      <c r="Q74" s="70" t="e">
        <f>IF(AND($F$12="k",$F$8=1),"Nur IT 4-18",IF(AND($F$12="k",$F$8=2),"Nur IT 4-18",IF(AND($F$12="k",$F$8=3),"Nur IT 4-18",IF(AND($F$12="k",$F$8=4),(Grundtoleranzen!K92),IF(AND($F$12="k",$F$8=5),(Grundtoleranzen!K92),IF(AND($F$12="k",$F$8=6),(Grundtoleranzen!K92),(Grundtoleranzen!L92)))))))</f>
        <v>#REF!</v>
      </c>
      <c r="R74" s="70" t="e">
        <f>IF(AND(F$12="m"),Grundtoleranzen!M92,IF(AND(F$12="n"),Grundtoleranzen!N92,IF(AND(F$12="p"),Grundtoleranzen!O92,IF(AND(F$12="r"),Grundtoleranzen!P92,IF(AND(F$12="s"),Grundtoleranzen!Q92,IF(AND(F$12="t"),Grundtoleranzen!R92,IF(AND(F$12="u"),Grundtoleranzen!S92,IF(AND(F$12="x"),Grundtoleranzen!T92,IF(AND(F$12="z"),Grundtoleranzen!U92,IF(AND(F$12="za"),Grundtoleranzen!V92,IF(AND(F$12="zb"),Grundtoleranzen!W92,IF(AND(F$12="zc"),Grundtoleranzen!X92))))))))))))</f>
        <v>#REF!</v>
      </c>
    </row>
    <row r="75" spans="8:18" x14ac:dyDescent="0.25">
      <c r="K75" s="25" t="s">
        <v>150</v>
      </c>
      <c r="L75" s="68" t="e">
        <f>IF(AND(F$12="c"),Grundtoleranzen!B93,IF(AND(F$12="d"),Grundtoleranzen!C93,IF(AND(F$12="e"),Grundtoleranzen!D93,IF(AND(F$12="f"),Grundtoleranzen!E93,IF(AND(F$12="g"),Grundtoleranzen!F93,IF(AND(F$12="h"),Grundtoleranzen!G93))))))</f>
        <v>#REF!</v>
      </c>
      <c r="P75" s="70" t="e">
        <f>IF(AND(F$12="j",F$8=5),(Grundtoleranzen!I93),IF(AND(F$12="j",F$8=6),(Grundtoleranzen!I93),IF(AND(F$12="j",F$8=7),(Grundtoleranzen!J93),"Nur IT5-7")))</f>
        <v>#REF!</v>
      </c>
      <c r="Q75" s="70" t="e">
        <f>IF(AND($F$12="k",$F$8=1),"Nur IT 4-18",IF(AND($F$12="k",$F$8=2),"Nur IT 4-18",IF(AND($F$12="k",$F$8=3),"Nur IT 4-18",IF(AND($F$12="k",$F$8=4),(Grundtoleranzen!K93),IF(AND($F$12="k",$F$8=5),(Grundtoleranzen!K93),IF(AND($F$12="k",$F$8=6),(Grundtoleranzen!K93),(Grundtoleranzen!L93)))))))</f>
        <v>#REF!</v>
      </c>
      <c r="R75" s="70" t="e">
        <f>IF(AND(F$12="m"),Grundtoleranzen!M93,IF(AND(F$12="n"),Grundtoleranzen!N93,IF(AND(F$12="p"),Grundtoleranzen!O93,IF(AND(F$12="r"),Grundtoleranzen!P93,IF(AND(F$12="s"),Grundtoleranzen!Q93,IF(AND(F$12="t"),Grundtoleranzen!R93,IF(AND(F$12="u"),Grundtoleranzen!S93,IF(AND(F$12="x"),Grundtoleranzen!T93,IF(AND(F$12="z"),Grundtoleranzen!U93,IF(AND(F$12="za"),Grundtoleranzen!V93,IF(AND(F$12="zb"),Grundtoleranzen!W93,IF(AND(F$12="zc"),Grundtoleranzen!X93))))))))))))</f>
        <v>#REF!</v>
      </c>
    </row>
    <row r="76" spans="8:18" ht="15.75" thickBot="1" x14ac:dyDescent="0.3">
      <c r="K76" s="26" t="s">
        <v>151</v>
      </c>
      <c r="L76" s="68" t="e">
        <f>IF(AND(F$12="c"),Grundtoleranzen!B94,IF(AND(F$12="d"),Grundtoleranzen!C94,IF(AND(F$12="e"),Grundtoleranzen!D94,IF(AND(F$12="f"),Grundtoleranzen!E94,IF(AND(F$12="g"),Grundtoleranzen!F94,IF(AND(F$12="h"),Grundtoleranzen!G94))))))</f>
        <v>#REF!</v>
      </c>
      <c r="P76" s="70" t="e">
        <f>IF(AND(F$12="j",F$8=5),(Grundtoleranzen!I94),IF(AND(F$12="j",F$8=6),(Grundtoleranzen!I94),IF(AND(F$12="j",F$8=7),(Grundtoleranzen!J94),"Nur IT5-7")))</f>
        <v>#REF!</v>
      </c>
      <c r="Q76" s="70" t="e">
        <f>IF(AND($F$12="k",$F$8=1),"Nur IT 4-18",IF(AND($F$12="k",$F$8=2),"Nur IT 4-18",IF(AND($F$12="k",$F$8=3),"Nur IT 4-18",IF(AND($F$12="k",$F$8=4),(Grundtoleranzen!K94),IF(AND($F$12="k",$F$8=5),(Grundtoleranzen!K94),IF(AND($F$12="k",$F$8=6),(Grundtoleranzen!K94),(Grundtoleranzen!L94)))))))</f>
        <v>#REF!</v>
      </c>
      <c r="R76" s="70" t="e">
        <f>IF(AND(F$12="m"),Grundtoleranzen!M94,IF(AND(F$12="n"),Grundtoleranzen!N94,IF(AND(F$12="p"),Grundtoleranzen!O94,IF(AND(F$12="r"),Grundtoleranzen!P94,IF(AND(F$12="s"),Grundtoleranzen!Q94,IF(AND(F$12="t"),Grundtoleranzen!R94,IF(AND(F$12="u"),Grundtoleranzen!S94,IF(AND(F$12="x"),Grundtoleranzen!T94,IF(AND(F$12="z"),Grundtoleranzen!U94,IF(AND(F$12="za"),Grundtoleranzen!V94,IF(AND(F$12="zb"),Grundtoleranzen!W94,IF(AND(F$12="zc"),Grundtoleranzen!X94))))))))))))</f>
        <v>#REF!</v>
      </c>
    </row>
    <row r="77" spans="8:18" ht="15.75" thickBot="1" x14ac:dyDescent="0.3">
      <c r="K77" s="348" t="s">
        <v>121</v>
      </c>
      <c r="L77" s="276"/>
      <c r="M77" s="276"/>
      <c r="N77" s="349"/>
      <c r="P77" s="274" t="s">
        <v>121</v>
      </c>
      <c r="Q77" s="275"/>
      <c r="R77" s="277"/>
    </row>
    <row r="78" spans="8:18" ht="15.75" thickBot="1" x14ac:dyDescent="0.3">
      <c r="K78" s="80" t="s">
        <v>195</v>
      </c>
      <c r="L78" s="81" t="e">
        <f>IF(AND($E$4&gt;0,$E$4&lt;=3),L52,IF(AND($E$4&gt;3,$E$4&lt;=6),L53,IF(AND($E$4&gt;6,$E$4&lt;=10),L54,IF(AND($E$4&gt;10,$E$4&lt;=14),L55,IF(AND($E$4&gt;14,$E$4&lt;=18),L56,IF(AND($E$4&gt;18,$E$4&lt;=24),L57,IF(AND($E$4&gt;24,$E$4&lt;=30),L58,IF(AND($E$4&gt;30,$E$4&lt;=40),L59,IF(AND($E$4&gt;40,$E$4&lt;=50),L60,IF(AND($E$4&gt;50,$E$4&lt;=65),L61,IF(AND($E$4&gt;65,$E$4&lt;=80),L62,IF(AND($E$4&gt;80,$E$4&lt;=100),L63,IF(AND($E$4&gt;100,$E$4&lt;=120),L64,IF(AND($E$4&gt;120,$E$4&lt;=140),L65,IF(AND($E$4&gt;140,$E$4&lt;=160),L66,IF(AND($E$4&gt;160,$E$4&lt;=180),L67,IF(AND($E$4&gt;180,$E$4&lt;=200),L68,IF(AND($E$4&gt;200,$E$4&lt;=225),L69,IF(AND($E$4&gt;225,$E$4&lt;=250),L70,IF(AND($E$4&gt;250,$E$4&lt;=280),L71,IF(AND($E$4&gt;280,$E$4&lt;=315),L72,IF(AND($E$4&gt;315,$E$4&lt;=355),L73,IF(AND($E$4&gt;355,$E$4&lt;=400),L74,IF(AND($E$4&gt;400,$E$4&lt;=450),L75,IF(AND($E$4&gt;450,$E$4&lt;=500),L76)))))))))))))))))))))))))</f>
        <v>#REF!</v>
      </c>
      <c r="M78" s="80" t="s">
        <v>196</v>
      </c>
      <c r="N78" s="81" t="e">
        <f>F18+N80</f>
        <v>#REF!</v>
      </c>
      <c r="P78" s="94" t="e">
        <f>P80+$F$18</f>
        <v>#REF!</v>
      </c>
      <c r="Q78" s="94" t="e">
        <f t="shared" ref="Q78:R78" si="2">Q80+$F$18</f>
        <v>#REF!</v>
      </c>
      <c r="R78" s="94" t="e">
        <f t="shared" si="2"/>
        <v>#REF!</v>
      </c>
    </row>
    <row r="79" spans="8:18" ht="15.75" thickBot="1" x14ac:dyDescent="0.3">
      <c r="K79" s="348" t="s">
        <v>197</v>
      </c>
      <c r="L79" s="276"/>
      <c r="M79" s="276"/>
      <c r="N79" s="349"/>
      <c r="P79" s="274" t="s">
        <v>197</v>
      </c>
      <c r="Q79" s="275"/>
      <c r="R79" s="277"/>
    </row>
    <row r="80" spans="8:18" ht="15.75" thickBot="1" x14ac:dyDescent="0.3">
      <c r="K80" s="80" t="s">
        <v>195</v>
      </c>
      <c r="L80" s="81" t="e">
        <f>(F18-L78)*-1</f>
        <v>#REF!</v>
      </c>
      <c r="M80" s="80" t="s">
        <v>196</v>
      </c>
      <c r="N80" s="81" t="e">
        <f>IF(AND(E4&gt;0,E4&lt;=3),N52,IF(AND(E4&gt;3,E4&lt;=6),N53,IF(AND(E4&gt;6,E4&lt;=10),N54,IF(AND(E4&gt;10,E4&lt;=18),N55,IF(AND(E4&gt;18,E4&lt;=30),N56,IF(AND(E4&gt;30,E4&lt;=50),N57,IF(AND(E4&gt;50,E4&lt;=80),N58,IF(AND(E4&gt;80,E4&lt;=120),N59,IF(AND(E4&gt;120,E4&lt;=180),N60,IF(AND(E4&gt;180,E4&lt;=250),N61,IF(AND(E4&gt;250,E4&lt;=315),N62,IF(AND(E4&gt;315,E4&lt;=400),N63,IF(AND(E4&gt;400,E4&lt;=500),N64,IF(AND(E4&gt;500,E4&lt;=630),N65,IF(AND(E4&gt;630,E4&lt;=800),N66,IF(AND(E4&gt;800,E4&lt;=1000),N67,IF(AND(E4&gt;1000,E4&lt;=1250),N68,IF(AND(E4&gt;1250,E4&lt;=1600),N69,IF(AND(E4&gt;1600,E4&lt;=2000),N70,IF(AND(E4&gt;200,E4&lt;=2500),N71,IF(AND(E4&gt;2500,E4&lt;=3150),N72)))))))))))))))))))))</f>
        <v>#REF!</v>
      </c>
      <c r="P80" s="94" t="e">
        <f>IF(AND($E$4&gt;0,$E$4&lt;=3),P53,IF(AND($E$4&gt;3,$E$4&lt;=6),P54,IF(AND($E$4&gt;6,$E$4&lt;=10),P55,IF(AND($E$4&gt;10,$E$4&lt;=14),P56,IF(AND($E$4&gt;14,$E$4&lt;=18),P57,IF(AND($E$4&gt;18,$E$4&lt;=24),P58,IF(AND($E$4&gt;24,$E$4&lt;=30),P59,IF(AND($E$4&gt;30,$E$4&lt;=40),P60,IF(AND($E$4&gt;40,$E$4&lt;=50),P61,IF(AND($E$4&gt;50,$E$4&lt;=65),P62,IF(AND($E$4&gt;65,$E$4&lt;=80),P63,IF(AND($E$4&gt;80,$E$4&lt;=100),P64,IF(AND($E$4&gt;100,$E$4&lt;=120),P65,IF(AND($E$4&gt;120,$E$4&lt;=140),P66,IF(AND($E$4&gt;140,$E$4&lt;=160),P67,IF(AND($E$4&gt;160,$E$4&lt;=180),P68,IF(AND($E$4&gt;180,$E$4&lt;=200),P69,IF(AND($E$4&gt;200,$E$4&lt;=225),P70,IF(AND($E$4&gt;225,$E$4&lt;=250),P71,IF(AND($E$4&gt;250,$E$4&lt;=280),P72,IF(AND($E$4&gt;280,$E$4&lt;=315),P73,IF(AND($E$4&gt;315,$E$4&lt;=355),P74,IF(AND($E$4&gt;355,$E$4&lt;=400),P75,IF(AND($E$4&gt;400,$E$4&lt;=450),P76,IF(AND($E$4&gt;450,$E$4&lt;=500),#REF!,)))))))))))))))))))))))))</f>
        <v>#REF!</v>
      </c>
      <c r="Q80" s="94" t="e">
        <f>IF(AND($E$4&gt;0,$E$4&lt;=3),Q53,IF(AND($E$4&gt;3,$E$4&lt;=6),Q54,IF(AND($E$4&gt;6,$E$4&lt;=10),Q55,IF(AND($E$4&gt;10,$E$4&lt;=14),Q56,IF(AND($E$4&gt;14,$E$4&lt;=18),Q57,IF(AND($E$4&gt;18,$E$4&lt;=24),Q58,IF(AND($E$4&gt;24,$E$4&lt;=30),Q59,IF(AND($E$4&gt;30,$E$4&lt;=40),Q60,IF(AND($E$4&gt;40,$E$4&lt;=50),Q61,IF(AND($E$4&gt;50,$E$4&lt;=65),Q62,IF(AND($E$4&gt;65,$E$4&lt;=80),Q63,IF(AND($E$4&gt;80,$E$4&lt;=100),Q64,IF(AND($E$4&gt;100,$E$4&lt;=120),Q65,IF(AND($E$4&gt;120,$E$4&lt;=140),Q66,IF(AND($E$4&gt;140,$E$4&lt;=160),Q67,IF(AND($E$4&gt;160,$E$4&lt;=180),Q68,IF(AND($E$4&gt;180,$E$4&lt;=200),Q69,IF(AND($E$4&gt;200,$E$4&lt;=225),Q70,IF(AND($E$4&gt;225,$E$4&lt;=250),Q71,IF(AND($E$4&gt;250,$E$4&lt;=280),Q72,IF(AND($E$4&gt;280,$E$4&lt;=315),Q73,IF(AND($E$4&gt;315,$E$4&lt;=355),Q74,IF(AND($E$4&gt;355,$E$4&lt;=400),Q75,IF(AND($E$4&gt;400,$E$4&lt;=450),#REF!,IF(AND($E$4&gt;450,$E$4&lt;=500),Q76,)))))))))))))))))))))))))</f>
        <v>#REF!</v>
      </c>
      <c r="R80" s="94" t="e">
        <f>IF(AND($E$4&gt;0,$E$4&lt;=3),R52,IF(AND($E$4&gt;3,$E$4&lt;=6),R53,IF(AND($E$4&gt;6,$E$4&lt;=10),R54,IF(AND($E$4&gt;10,$E$4&lt;=14),R55,IF(AND($E$4&gt;14,$E$4&lt;=18),R56,IF(AND($E$4&gt;18,$E$4&lt;=24),R57,IF(AND($E$4&gt;24,$E$4&lt;=30),R58,IF(AND($E$4&gt;30,$E$4&lt;=40),R59,IF(AND($E$4&gt;40,$E$4&lt;=50),R60,IF(AND($E$4&gt;50,$E$4&lt;=65),R61,IF(AND($E$4&gt;65,$E$4&lt;=80),R62,IF(AND($E$4&gt;80,$E$4&lt;=100),R63,IF(AND($E$4&gt;100,$E$4&lt;=120),R64,IF(AND($E$4&gt;120,$E$4&lt;=140),R65,IF(AND($E$4&gt;140,$E$4&lt;=160),R66,IF(AND($E$4&gt;160,$E$4&lt;=180),R67,IF(AND($E$4&gt;180,$E$4&lt;=200),R68,IF(AND($E$4&gt;200,$E$4&lt;=225),R69,IF(AND($E$4&gt;225,$E$4&lt;=250),R70,IF(AND($E$4&gt;250,$E$4&lt;=280),R71,IF(AND($E$4&gt;280,$E$4&lt;=315),R72,IF(AND($E$4&gt;315,$E$4&lt;=355),R73,IF(AND($E$4&gt;355,$E$4&lt;=400),R74,IF(AND($E$4&gt;400,$E$4&lt;=450),R75,IF(AND($E$4&gt;450,$E$4&lt;=500),R76,)))))))))))))))))))))))))</f>
        <v>#REF!</v>
      </c>
    </row>
    <row r="92" spans="2:17" ht="15.75" thickBot="1" x14ac:dyDescent="0.3"/>
    <row r="93" spans="2:17" ht="15.75" thickBot="1" x14ac:dyDescent="0.3">
      <c r="B93" s="274" t="s">
        <v>249</v>
      </c>
      <c r="C93" s="275"/>
      <c r="D93" s="275"/>
      <c r="E93" s="275"/>
      <c r="F93" s="275"/>
      <c r="G93" s="275"/>
      <c r="H93" s="275"/>
      <c r="I93" s="275"/>
      <c r="J93" s="275"/>
      <c r="K93" s="275"/>
      <c r="L93" s="275"/>
      <c r="M93" s="275"/>
      <c r="N93" s="275"/>
      <c r="O93" s="275"/>
      <c r="P93" s="275"/>
      <c r="Q93" s="277"/>
    </row>
    <row r="94" spans="2:17" ht="15.75" thickBot="1" x14ac:dyDescent="0.3">
      <c r="B94" s="144" t="s">
        <v>248</v>
      </c>
      <c r="C94" s="333" t="s">
        <v>246</v>
      </c>
      <c r="D94" s="332"/>
      <c r="E94" s="344" t="s">
        <v>217</v>
      </c>
      <c r="F94" s="345"/>
      <c r="G94" s="346" t="s">
        <v>219</v>
      </c>
      <c r="H94" s="347"/>
      <c r="K94" s="342" t="s">
        <v>247</v>
      </c>
      <c r="L94" s="343"/>
      <c r="M94" s="342" t="s">
        <v>240</v>
      </c>
      <c r="N94" s="343"/>
      <c r="O94" s="333" t="s">
        <v>243</v>
      </c>
      <c r="P94" s="332"/>
      <c r="Q94" s="145" t="s">
        <v>242</v>
      </c>
    </row>
    <row r="95" spans="2:17" ht="15.75" thickBot="1" x14ac:dyDescent="0.3">
      <c r="B95" s="143">
        <f>'Allg.toleranzen DIN ISO 2768'!D9</f>
        <v>30</v>
      </c>
      <c r="C95" s="108" t="s">
        <v>214</v>
      </c>
      <c r="D95" s="115">
        <f>IF(AND($B$95&gt;0.5,$B$95&lt;=3),Grundtoleranzen!D104,IF(AND($B$95&gt;3,$B$95&lt;=6),Grundtoleranzen!E104,IF(AND($B$95&gt;6,$B$95&lt;=30),Grundtoleranzen!F104,IF(AND($B$95&gt;30,$B$95&lt;=120),Grundtoleranzen!G104,IF(AND($B$95&gt;120,$B$95&lt;=400),Grundtoleranzen!H104,IF(AND($B$95&gt;400,$B$95&lt;=1000),Grundtoleranzen!I104,IF(AND($B$95&gt;1000,$B$95&lt;=2000),Grundtoleranzen!J104,IF(AND($B$95&gt;2000,$B$95&lt;=4000),Grundtoleranzen!K104,IF(AND($B$95&gt;4000),H105)))))))))</f>
        <v>0.1</v>
      </c>
      <c r="E95" s="123"/>
      <c r="F95" s="115">
        <f>IF(AND($B$95&gt;0.5,$B$95&lt;=3),Grundtoleranzen!L104,IF(AND($B$95&gt;3,$B$95&lt;=6),Grundtoleranzen!M104,IF(AND($B$95&gt;6),Grundtoleranzen!N104)))</f>
        <v>1</v>
      </c>
      <c r="G95" s="123"/>
      <c r="H95" s="115" t="str">
        <f>IF(AND($B$95&lt;=10),Grundtoleranzen!O104,IF(AND($B$95&gt;10,$B$95&lt;=50),Grundtoleranzen!P104,IF(AND($B$95&gt;50,$B$95&lt;=120),Grundtoleranzen!Q104,IF(AND($B$95&gt;120,$B$95&lt;=400),Grundtoleranzen!R104,IF(AND($B$95&gt;400),Grundtoleranzen!S104)))))</f>
        <v>0°30</v>
      </c>
      <c r="J95" s="142" t="s">
        <v>93</v>
      </c>
      <c r="K95" s="140"/>
      <c r="L95" s="141">
        <f>IF(AND($B$95&lt;=10),Grundtoleranzen!D114,IF(AND($B$95&gt;10,$B$95&lt;=30),Grundtoleranzen!E114,IF(AND($B$95&gt;30,$B$95&lt;=100),Grundtoleranzen!F114,IF(AND($B$95&gt;100,$B$95&lt;=300),Grundtoleranzen!G114,IF(AND($B$95&gt;300,$B$95&lt;=1000),Grundtoleranzen!H114,IF(AND($B$95&gt;1000,$B$95&lt;=3000),Grundtoleranzen!I114,IF(AND($B$95&gt;3000),H104)))))))</f>
        <v>0.05</v>
      </c>
      <c r="M95" s="140"/>
      <c r="N95" s="141">
        <f>IF(AND($B$95&lt;=100),Grundtoleranzen!J114,IF(AND($B$95&gt;100,$B$95&lt;=300),Grundtoleranzen!K114,IF(AND($B$95&gt;300,$B$95&lt;=1000),Grundtoleranzen!L114,IF(AND($B$95&gt;1000,$B$95&lt;=3000),Grundtoleranzen!M114,IF(AND($B$95&gt;3000),H104)))))</f>
        <v>0.2</v>
      </c>
      <c r="O95" s="140"/>
      <c r="P95" s="141">
        <f>IF(AND($B$95&lt;=100),Grundtoleranzen!N114,IF(AND($B$95&gt;100,$B$95&lt;=300),Grundtoleranzen!O114,IF(AND($B$95&gt;300,$B$95&lt;=1000),Grundtoleranzen!P114,IF(AND($B$95&gt;1000,$B$95&lt;=3000),Grundtoleranzen!Q114,IF(AND($B$95&gt;3000),H104)))))</f>
        <v>0.5</v>
      </c>
      <c r="Q95" s="139">
        <f>Grundtoleranzen!R114</f>
        <v>0.1</v>
      </c>
    </row>
    <row r="96" spans="2:17" x14ac:dyDescent="0.25">
      <c r="B96" s="151"/>
      <c r="C96" s="108" t="s">
        <v>260</v>
      </c>
      <c r="D96" s="115">
        <f>IF(AND($B$95&gt;0.5,$B$95&lt;=3),Grundtoleranzen!D105,IF(AND($B$95&gt;3,$B$95&lt;=6),Grundtoleranzen!E105,IF(AND($B$95&gt;6,$B$95&lt;=30),Grundtoleranzen!F105,IF(AND($B$95&gt;30,$B$95&lt;=120),Grundtoleranzen!G105,IF(AND($B$95&gt;120,$B$95&lt;=400),Grundtoleranzen!H105,IF(AND($B$95&gt;400,$B$95&lt;=1000),Grundtoleranzen!I105,IF(AND($B$95&gt;1000,$B$95&lt;=2000),Grundtoleranzen!J105,IF(AND($B$95&gt;2000,$B$95&lt;=4000),Grundtoleranzen!K105,IF(AND($B$95&gt;4000),H105)))))))))</f>
        <v>0.2</v>
      </c>
      <c r="E96" s="123"/>
      <c r="F96" s="115">
        <f>IF(AND($B$95&gt;0.5,$B$95&lt;=3),Grundtoleranzen!L105,IF(AND($B$95&gt;3,$B$95&lt;=6),Grundtoleranzen!M105,IF(AND($B$95&gt;6),Grundtoleranzen!N105)))</f>
        <v>1</v>
      </c>
      <c r="G96" s="123"/>
      <c r="H96" s="115" t="str">
        <f>IF(AND($B$95&lt;=10),Grundtoleranzen!O105,IF(AND($B$95&gt;10,$B$95&lt;=50),Grundtoleranzen!P105,IF(AND($B$95&gt;50,$B$95&lt;=120),Grundtoleranzen!Q105,IF(AND($B$95&gt;120,$B$95&lt;=400),Grundtoleranzen!R105,IF(AND($B$95&gt;400),Grundtoleranzen!S105)))))</f>
        <v>0°30</v>
      </c>
      <c r="J96" s="108" t="s">
        <v>102</v>
      </c>
      <c r="K96" s="123"/>
      <c r="L96" s="115">
        <f>IF(AND($B$95&lt;=10),Grundtoleranzen!D115,IF(AND($B$95&gt;10,$B$95&lt;=30),Grundtoleranzen!E115,IF(AND($B$95&gt;30,$B$95&lt;=100),Grundtoleranzen!F115,IF(AND($B$95&gt;100,$B$95&lt;=300),Grundtoleranzen!G115,IF(AND($B$95&gt;300,$B$95&lt;=1000),Grundtoleranzen!H115,IF(AND($B$95&gt;1000,$B$95&lt;=3000),Grundtoleranzen!I115,IF(AND($B$95&gt;3000),H104)))))))</f>
        <v>0.1</v>
      </c>
      <c r="M96" s="123"/>
      <c r="N96" s="115">
        <f>IF(AND($B$95&lt;=100),Grundtoleranzen!J115,IF(AND($B$95&gt;100,$B$95&lt;=300),Grundtoleranzen!K115,IF(AND($B$95&gt;300,$B$95&lt;=1000),Grundtoleranzen!L115,IF(AND($B$95&gt;1000,$B$95&lt;=3000),Grundtoleranzen!M115,IF(AND($B$95&gt;3000),H104)))))</f>
        <v>0.4</v>
      </c>
      <c r="O96" s="123"/>
      <c r="P96" s="115">
        <f>IF(AND($B$95&lt;=100),Grundtoleranzen!N115,IF(AND($B$95&gt;100,$B$95&lt;=300),Grundtoleranzen!O115,IF(AND($B$95&gt;300,$B$95&lt;=1000),Grundtoleranzen!P115,IF(AND($B$95&gt;1000,$B$95&lt;=3000),Grundtoleranzen!Q115,IF(AND($B$95&gt;1000),H104)))))</f>
        <v>0.6</v>
      </c>
      <c r="Q96" s="118">
        <f>Grundtoleranzen!R115</f>
        <v>0.2</v>
      </c>
    </row>
    <row r="97" spans="2:17" ht="15.75" thickBot="1" x14ac:dyDescent="0.3">
      <c r="B97" s="152" t="str">
        <f>'Allg.toleranzen DIN ISO 2768'!H9</f>
        <v>m (mittel)</v>
      </c>
      <c r="C97" s="108" t="s">
        <v>215</v>
      </c>
      <c r="D97" s="115">
        <f>IF(AND($B$95&gt;0.5,$B$95&lt;=3),Grundtoleranzen!D106,IF(AND($B$95&gt;3,$B$95&lt;=6),Grundtoleranzen!E106,IF(AND($B$95&gt;6,$B$95&lt;=30),Grundtoleranzen!F106,IF(AND($B$95&gt;30,$B$95&lt;=120),Grundtoleranzen!G106,IF(AND($B$95&gt;120,$B$95&lt;=400),Grundtoleranzen!H106,IF(AND($B$95&gt;400,$B$95&lt;=1000),Grundtoleranzen!I106,IF(AND($B$95&gt;1000,$B$95&lt;=2000),Grundtoleranzen!J106,IF(AND($B$95&gt;2000,$B$95&lt;=4000),Grundtoleranzen!K106,IF(AND($B$95&gt;4000),H105)))))))))</f>
        <v>0.5</v>
      </c>
      <c r="E97" s="123"/>
      <c r="F97" s="115">
        <f>IF(AND($B$95&gt;0.5,$B$95&lt;=3),Grundtoleranzen!L106,IF(AND($B$95&gt;3,$B$95&lt;=6),Grundtoleranzen!M106,IF(AND($B$95&gt;6),Grundtoleranzen!N106)))</f>
        <v>2</v>
      </c>
      <c r="G97" s="123"/>
      <c r="H97" s="115" t="str">
        <f>IF(AND($B$95&lt;=10),Grundtoleranzen!O106,IF(AND($B$95&gt;10,$B$95&lt;=50),Grundtoleranzen!P106,IF(AND($B$95&gt;50,$B$95&lt;=120),Grundtoleranzen!Q106,IF(AND($B$95&gt;120,$B$95&lt;=400),Grundtoleranzen!R106,IF(AND($B$95&gt;400),Grundtoleranzen!S106)))))</f>
        <v>1°</v>
      </c>
      <c r="J97" s="111" t="s">
        <v>233</v>
      </c>
      <c r="K97" s="124"/>
      <c r="L97" s="116">
        <f>IF(AND($B$95&lt;=10),Grundtoleranzen!D116,IF(AND($B$95&gt;10,$B$95&lt;=30),Grundtoleranzen!E116,IF(AND($B$95&gt;30,$B$95&lt;=100),Grundtoleranzen!F116,IF(AND($B$95&gt;100,$B$95&lt;=300),Grundtoleranzen!G116,IF(AND($B$95&gt;300,$B$95&lt;=1000),Grundtoleranzen!H116,IF(AND($B$95&gt;1000,$B$95&lt;=3000),Grundtoleranzen!I116,IF(AND($B$95&gt;3000),H104)))))))</f>
        <v>0.2</v>
      </c>
      <c r="M97" s="124"/>
      <c r="N97" s="116">
        <f>IF(AND($B$95&lt;=100),Grundtoleranzen!J116,IF(AND($B$95&gt;100,$B$95&lt;=300),Grundtoleranzen!K116,IF(AND($B$95&gt;300,$B$95&lt;=1000),Grundtoleranzen!L116,IF(AND($B$95&gt;1000,$B$95&lt;=3000),Grundtoleranzen!M116,IF(AND($B$95&gt;3000),H104)))))</f>
        <v>0.6</v>
      </c>
      <c r="O97" s="124"/>
      <c r="P97" s="116">
        <f>IF(AND($B$95&lt;=100),Grundtoleranzen!N116,IF(AND($B$95&gt;100,$B$95&lt;=300),Grundtoleranzen!O116,IF(AND($B$95&gt;300,$B$95&lt;=1000),Grundtoleranzen!P116,IF(AND($B$95&gt;1000,$B$95&lt;=3000),Grundtoleranzen!Q116,IF(AND($B$95&gt;3000),H104)))))</f>
        <v>0.6</v>
      </c>
      <c r="Q97" s="119">
        <f>Grundtoleranzen!R116</f>
        <v>0.5</v>
      </c>
    </row>
    <row r="98" spans="2:17" ht="15.75" thickBot="1" x14ac:dyDescent="0.3">
      <c r="B98" s="152" t="str">
        <f>'Allg.toleranzen DIN ISO 2768'!H13</f>
        <v>K</v>
      </c>
      <c r="C98" s="108" t="s">
        <v>216</v>
      </c>
      <c r="D98" s="115">
        <f>IF(AND($B$95&gt;0.5,$B$95&lt;=3),Grundtoleranzen!D107,IF(AND($B$95&gt;3,$B$95&lt;=6),Grundtoleranzen!E107,IF(AND($B$95&gt;6,$B$95&lt;=30),Grundtoleranzen!F107,IF(AND($B$95&gt;30,$B$95&lt;=120),Grundtoleranzen!G107,IF(AND($B$95&gt;120,$B$95&lt;=400),Grundtoleranzen!H107,IF(AND($B$95&gt;400,$B$95&lt;=1000),Grundtoleranzen!I107,IF(AND($B$95&gt;1000,$B$95&lt;=2000),Grundtoleranzen!J107,IF(AND($B$95&gt;2000,$B$95&lt;=4000),Grundtoleranzen!K107,IF(AND($B$95&gt;4000),H105)))))))))</f>
        <v>1</v>
      </c>
      <c r="E98" s="123"/>
      <c r="F98" s="115">
        <f>IF(AND($B$95&gt;0.5,$B$95&lt;=3),Grundtoleranzen!L107,IF(AND($B$95&gt;3,$B$95&lt;=6),Grundtoleranzen!M107,IF(AND($B$95&gt;6),Grundtoleranzen!N107)))</f>
        <v>2</v>
      </c>
      <c r="G98" s="123"/>
      <c r="H98" s="115" t="str">
        <f>IF(AND($B$95&lt;=10),Grundtoleranzen!O107,IF(AND($B$95&gt;10,$B$95&lt;=50),Grundtoleranzen!P107,IF(AND($B$95&gt;50,$B$95&lt;=120),Grundtoleranzen!Q107,IF(AND($B$95&gt;120,$B$95&lt;=400),Grundtoleranzen!R107,IF(AND($B$95&gt;400),Grundtoleranzen!S107)))))</f>
        <v>2°</v>
      </c>
      <c r="Q98" s="115"/>
    </row>
    <row r="99" spans="2:17" ht="15.75" thickBot="1" x14ac:dyDescent="0.3">
      <c r="B99" s="140"/>
      <c r="C99" s="155"/>
      <c r="D99" s="155"/>
      <c r="E99" s="155"/>
      <c r="F99" s="155"/>
      <c r="G99" s="155"/>
      <c r="H99" s="155"/>
      <c r="I99" s="141"/>
      <c r="Q99" s="115"/>
    </row>
    <row r="100" spans="2:17" ht="15.75" thickBot="1" x14ac:dyDescent="0.3">
      <c r="B100" s="146" t="s">
        <v>268</v>
      </c>
      <c r="C100" s="153"/>
      <c r="D100" s="147" t="str">
        <f>LEFT(B97,1)</f>
        <v>m</v>
      </c>
      <c r="E100" s="154" t="s">
        <v>259</v>
      </c>
      <c r="I100" s="115"/>
      <c r="Q100" s="115"/>
    </row>
    <row r="101" spans="2:17" ht="15.75" thickBot="1" x14ac:dyDescent="0.3">
      <c r="B101" s="123"/>
      <c r="H101" t="s">
        <v>257</v>
      </c>
      <c r="I101" s="115" t="s">
        <v>258</v>
      </c>
      <c r="Q101" s="115"/>
    </row>
    <row r="102" spans="2:17" ht="15.75" thickBot="1" x14ac:dyDescent="0.3">
      <c r="B102" s="123"/>
      <c r="C102" s="146" t="s">
        <v>250</v>
      </c>
      <c r="D102" s="147">
        <f>VLOOKUP($B$97,C95:D98,2,0)</f>
        <v>0.2</v>
      </c>
      <c r="F102" s="139" t="str">
        <f>E100&amp;" "&amp;D102&amp;" "&amp;"mm"</f>
        <v>± 0,2 mm</v>
      </c>
      <c r="G102" t="str">
        <f>"["&amp;" "&amp;B95&amp;" "&amp;E100&amp;" "&amp;D102&amp;" "&amp;"mm"&amp;" "&amp;"]"</f>
        <v>[ 30 ± 0,2 mm ]</v>
      </c>
      <c r="H102" t="str">
        <f>IFERROR(B95+D102&amp;" "&amp;"mm","---")</f>
        <v>30,2 mm</v>
      </c>
      <c r="I102" s="115" t="str">
        <f>IFERROR(B95-D102&amp;" "&amp;"mm","---")</f>
        <v>29,8 mm</v>
      </c>
      <c r="Q102" s="115"/>
    </row>
    <row r="103" spans="2:17" ht="30.75" thickBot="1" x14ac:dyDescent="0.3">
      <c r="B103" s="123"/>
      <c r="C103" s="148" t="s">
        <v>251</v>
      </c>
      <c r="D103" s="147">
        <f>VLOOKUP($B$97,C95:F98,4,0)</f>
        <v>1</v>
      </c>
      <c r="F103" s="118" t="str">
        <f>E100&amp;" "&amp;D103&amp;" "&amp;"mm"</f>
        <v>± 1 mm</v>
      </c>
      <c r="I103" s="115"/>
      <c r="Q103" s="115"/>
    </row>
    <row r="104" spans="2:17" ht="15.75" thickBot="1" x14ac:dyDescent="0.3">
      <c r="B104" s="123"/>
      <c r="C104" s="146" t="s">
        <v>252</v>
      </c>
      <c r="D104" s="147" t="str">
        <f>VLOOKUP($B$97,C95:H98,6,0)</f>
        <v>0°30</v>
      </c>
      <c r="F104" s="118" t="str">
        <f>E100&amp;" "&amp;D104&amp;"´"</f>
        <v>± 0°30´</v>
      </c>
      <c r="H104" t="s">
        <v>261</v>
      </c>
      <c r="I104" s="115"/>
      <c r="Q104" s="115"/>
    </row>
    <row r="105" spans="2:17" ht="30.75" thickBot="1" x14ac:dyDescent="0.3">
      <c r="B105" s="123"/>
      <c r="C105" s="148" t="s">
        <v>247</v>
      </c>
      <c r="D105" s="147">
        <f>VLOOKUP($B$98,J95:L97,3,0)</f>
        <v>0.1</v>
      </c>
      <c r="F105" s="118" t="str">
        <f>D105&amp;" "&amp;"mm"</f>
        <v>0,1 mm</v>
      </c>
      <c r="H105" t="s">
        <v>262</v>
      </c>
      <c r="I105" s="115"/>
      <c r="Q105" s="115"/>
    </row>
    <row r="106" spans="2:17" ht="30.75" thickBot="1" x14ac:dyDescent="0.3">
      <c r="B106" s="123"/>
      <c r="C106" s="148" t="s">
        <v>240</v>
      </c>
      <c r="D106" s="147">
        <f>VLOOKUP($B$98,J95:N97,5,0)</f>
        <v>0.4</v>
      </c>
      <c r="F106" s="118" t="str">
        <f>D106&amp;" "&amp;"mm"</f>
        <v>0,4 mm</v>
      </c>
      <c r="I106" s="115"/>
      <c r="Q106" s="115"/>
    </row>
    <row r="107" spans="2:17" ht="15.75" thickBot="1" x14ac:dyDescent="0.3">
      <c r="B107" s="123"/>
      <c r="C107" s="146" t="s">
        <v>243</v>
      </c>
      <c r="D107" s="147">
        <f>VLOOKUP($B$98,J95:P97,7,0)</f>
        <v>0.6</v>
      </c>
      <c r="F107" s="118" t="str">
        <f>D107&amp;" "&amp;"mm"</f>
        <v>0,6 mm</v>
      </c>
      <c r="I107" s="115"/>
      <c r="Q107" s="115"/>
    </row>
    <row r="108" spans="2:17" ht="15.75" thickBot="1" x14ac:dyDescent="0.3">
      <c r="B108" s="123"/>
      <c r="C108" s="149" t="s">
        <v>242</v>
      </c>
      <c r="D108" s="147">
        <f>VLOOKUP($B$98,J95:Q97,8,0)</f>
        <v>0.2</v>
      </c>
      <c r="F108" s="119" t="str">
        <f>D108&amp;" "&amp;"mm"</f>
        <v>0,2 mm</v>
      </c>
      <c r="I108" s="115"/>
      <c r="Q108" s="115"/>
    </row>
    <row r="109" spans="2:17" ht="15.75" thickBot="1" x14ac:dyDescent="0.3">
      <c r="B109" s="124"/>
      <c r="C109" s="112"/>
      <c r="D109" s="112"/>
      <c r="E109" s="112"/>
      <c r="F109" s="112"/>
      <c r="G109" s="112"/>
      <c r="H109" s="112"/>
      <c r="I109" s="116"/>
      <c r="J109" s="112"/>
      <c r="K109" s="112"/>
      <c r="L109" s="112"/>
      <c r="M109" s="112"/>
      <c r="N109" s="112"/>
      <c r="O109" s="112"/>
      <c r="P109" s="112"/>
      <c r="Q109" s="116"/>
    </row>
  </sheetData>
  <sheetProtection sheet="1" objects="1" scenarios="1"/>
  <dataConsolidate/>
  <mergeCells count="53">
    <mergeCell ref="P32:AC32"/>
    <mergeCell ref="K32:N32"/>
    <mergeCell ref="K30:N30"/>
    <mergeCell ref="D28:E28"/>
    <mergeCell ref="G31:H31"/>
    <mergeCell ref="G32:H32"/>
    <mergeCell ref="G28:H28"/>
    <mergeCell ref="G29:H29"/>
    <mergeCell ref="G30:H30"/>
    <mergeCell ref="P30:AC30"/>
    <mergeCell ref="G37:H37"/>
    <mergeCell ref="E14:F14"/>
    <mergeCell ref="H3:I3"/>
    <mergeCell ref="K4:L4"/>
    <mergeCell ref="M4:N4"/>
    <mergeCell ref="K3:N3"/>
    <mergeCell ref="D27:H27"/>
    <mergeCell ref="P3:AC3"/>
    <mergeCell ref="C1:C2"/>
    <mergeCell ref="B1:B2"/>
    <mergeCell ref="A1:A2"/>
    <mergeCell ref="H4:I4"/>
    <mergeCell ref="H50:I50"/>
    <mergeCell ref="E10:F10"/>
    <mergeCell ref="E2:F2"/>
    <mergeCell ref="E3:F3"/>
    <mergeCell ref="E4:F4"/>
    <mergeCell ref="D33:E33"/>
    <mergeCell ref="D34:E34"/>
    <mergeCell ref="D35:E35"/>
    <mergeCell ref="D36:E36"/>
    <mergeCell ref="D37:E37"/>
    <mergeCell ref="G33:H33"/>
    <mergeCell ref="E17:F17"/>
    <mergeCell ref="E6:F6"/>
    <mergeCell ref="G34:H34"/>
    <mergeCell ref="G35:H35"/>
    <mergeCell ref="G36:H36"/>
    <mergeCell ref="P50:R50"/>
    <mergeCell ref="P77:R77"/>
    <mergeCell ref="P79:R79"/>
    <mergeCell ref="K77:N77"/>
    <mergeCell ref="K79:N79"/>
    <mergeCell ref="K50:N50"/>
    <mergeCell ref="K51:L51"/>
    <mergeCell ref="M51:N51"/>
    <mergeCell ref="B93:Q93"/>
    <mergeCell ref="M94:N94"/>
    <mergeCell ref="O94:P94"/>
    <mergeCell ref="C94:D94"/>
    <mergeCell ref="E94:F94"/>
    <mergeCell ref="G94:H94"/>
    <mergeCell ref="K94:L94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T o u r   1 "   D e s c r i p t i o n = " H i e r   s t e h t   e i n e   B e s c h r e i b u n g   f � r   d i e   T o u r .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5 1 0 1 a b e 0 - d 8 a d - 4 4 b f - 8 b 4 0 - 2 9 5 7 5 2 f d 3 6 2 d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 1 7 . 7 8 5 4 2 5 4 7 0 4 0 2 5 7 6 < / L a t i t u d e > < L o n g i t u d e > 1 7 . 7 6 0 0 4 9 9 9 3 9 5 6 4 3 6 < / L o n g i t u d e > < R o t a t i o n > 0 < / R o t a t i o n > < P i v o t A n g l e > - 0 . 0 0 8 3 6 4 3 3 9 3 0 6 3 4 5 7 2 5 < / P i v o t A n g l e > < D i s t a n c e > 1 . 8 < / D i s t a n c e > < / C a m e r a > < I m a g e > i V B O R w 0 K G g o A A A A N S U h E U g A A A N Q A A A B 1 C A Y A A A A 2 n s 9 T A A A A A X N S R 0 I A r s 4 c 6 Q A A A A R n Q U 1 B A A C x j w v 8 Y Q U A A A A J c E h Z c w A A A m I A A A J i A W y J d J c A A D 3 7 S U R B V H h e 7 X 3 3 X x x J l u c r i / d G A g k Q Q k g C O e S l 7 p Z p S T v T P b M 3 N 3 c z 6 8 3 N 7 O 3 s f e 7 u 7 7 r 7 4 X b v Z n c / 0 z 1 t p G 5 5 7 4 U c I O G 9 K 6 C A 8 t z 7 v s i o y k q q g A K 6 R Q F f i I r I z D K Z G f H N Z + J F h O 0 P N x / M 0 S a W B b v d T p + d P k S R Y I B a h 2 3 U N m S n S C R C c 3 N z 1 L A l S F M + G 2 0 v D N H t d r f x C Q U c j 8 J c N s F u I z p T 5 6 d I O E A Z 7 t j n 8 V 2 e k T 7 6 2 f F S 2 Z 6 d n S U / 5 V B B Z o S + a 8 2 I f t 3 5 + g C 5 H O q 3 I u G w n O t s 2 E n Z L t 4 m G z n t 6 n 2 h O S e N + 5 x U V U T k c L n p 8 v 1 m 8 g e D 6 u A m U s Y m o Z a J n 3 / c R C 9 7 5 q h j l K I k 0 u n S b p / k H e M O a h t 2 S T k h E u y v z A 9 T f X m I w k E f + X w + K i g s N I 4 w e Q I 2 I d T h 7 Q E q y e H f 4 n 3 M O 3 r + / D k d P H h Q t v l U 6 E G X m 0 7 t C O A j U e A c H Q 5 m m A G b D Z 9 U + a y P K Z m d J a T D e 5 x M 4 K / u P K c w v m w T K W G T U C n A Z r P T 5 6 c P 0 r O u C P V 6 b N J I N Z k A M 3 G s J I L E i V j v 9 B w + q 4 q X 9 v h V w U B P T y 9 t 3 7 7 N 2 C K 6 / D Z D c u v 7 p n x 2 y n D O U c u b Z t p / Y B 9 N z N j J 7 S R y k o / c b v U Z D Z y T m U h m Y H t i 1 k H F u U r y z v F 1 Z e b k b B I r R T C h H l q r e R M J U F h 5 l K p y A / S i b y E i Q U I Z x U T g g z i M t j x n Y t e 5 X V D P 4 j / Y 0 9 P D h N o u 5 Z F p O z 3 t c U m 5 I j 9 C + y r i V b L O v l G y Z 5 X T 2 y E H n d k x R R k Z i k h y j s g N l Q + / G w q G K M g q X W 5 e H s 3 M T F N W F i S T Q 6 4 B 7 w F A r k m / g 1 y s F x Z m s 9 R y u u i P d 5 8 v f G 2 b E N j + c G u T U A u h a P t R 8 n r n u B G G k h I p R q j 5 s B 5 z M 3 E C I W P D w E l W z / I y 1 P v A s + 7 O T q q s q i E n a 2 i B k I 0 6 x h x C h i 7 O N f L Z Z q o p D t M o k 8 0 x 2 U p 7 d t c a R x S R w k w i l 0 u R U G O O J S L I M z s z I 6 q d 2 y A e E A r b W M 2 c p U w m G A B S + X y z T L h s I R q k X Y j s d P n B C z m + i c S A J i J 6 + G a a n z K K j 5 L H E y K / P y A N F A k E s S Y r z M f 2 b w 1 S f V m I q o v C c i z A D d e K J z 1 u 6 v E 4 R K 3 7 r i W D t m 6 v E Y f C / Q 6 3 q H P d b I u Z y Z T j n q P Z o J 2 8 Q 2 3 U u D V E I 5 M x i Y X v B w G m v Z O 8 N U e j n m k K G r 8 J l R X n l J G Z S X a T P R U K 8 T X 6 p m g 6 k h 2 9 H u S Z m V m S g 1 g e z x j Z w g H 6 7 O R B y s 5 w J 7 x f m 4 n T F 5 s S a h 5 y t x y i G b Y n Q q F g V C L p B O g 8 H j h u F E 3 4 q D Z A 2 S 6 W G H z s + 9 Z M f N g 4 E g 9 4 3 c 7 X + + m K Y S t d N N l K V 5 h k O B 5 k T u r 3 z Q Z t l O V S 3 z U 5 O U n 5 + f l S 9 v v 9 U Z V P w z M + J u d c V F x i 7 F H X A E m V l Z 1 N N q i D v G / U 4 6 W S w l x 5 c E C C Q U o F A w G R Z C g j A R l M q N C c n a 4 8 f C n b m 4 i B q y e O X x s + Z Z S w i j f N j T e o p J J Z z d M p H n q / s W m B 3 a Y O P O 6 J b + R W a J L s r w x G y Q S J h Y T v B p m A Q E g V N J k g X V p b 2 8 Q u 6 u z o p H f v 3 t P U x A R N e M b l O O B i d a 2 w q F i 8 h h p C E C M f m 7 b J N W R m 5 1 G A C a m 9 g X 6 / T y Q Z j u E e g L g o Q 2 L b I i G W V v v x D Z v J l G x f 3 H 6 U p C l s L D j d O d x K 9 0 j D t K p 2 g M 7 N S L Q P t 7 X Q e 4 8 O N x 2 g 7 9 q y y c E 7 P q 3 3 U b f H S W 8 H Y 2 q W F S W Z 0 5 S f k 0 k T P n j b 7 C y J u O G y / Q T s q w i J 6 v f w 3 S w d L P N Q X l 4 u j Y 6 O U X V 1 F f X 2 9 N I 2 k z c Q D d 8 7 5 a X 8 g n w h U C a r d / o 6 z F I G w H X 6 Z m c p O y e H f A E m n k M Z d y 6 X 6 v e a n Z 0 h p 9 M p d l d X V z d t 3 b q V c n K y q b O z i 7 Z u K R f H R i Q S p u a u E R r 2 Q M X c h O 3 L T U J R + f Y D N D w B F S + 5 4 8 G M R P u A 7 Y V h 2 l u u 7 J n L L Z l C p h 0 l I a o t V g 1 V u 7 7 N K H Z 7 a e d W N x V m p V 4 N Z l X P j H A 4 w l K r l f b u 3 S P X B G k r x I p A u v g h U y m L 7 S O o e u r 9 Y Z q e 9 l L A U U S l O c p F 7 g c Z D Q c F 8 P r 1 G 2 p o 2 B s l J H L Y a s P D I 7 R t W y X Z n G 7 6 5 t 5 z O b a R o e 7 o B k Z 2 2 R E a 8 t i j k m k h M m E 7 G Z m K s y N R M t 1 4 r 4 g D y a T J B J j 7 k K D W Y X u m 5 3 5 C M u F 3 Q J h k E E c C k y M R H H Y b Z b L d M 9 A / Q A G 2 g Z x O d C 4 T k 2 Z a b C a H w y l k m p q a E o c D 7 K T 8 / A I q z g r J 7 + I z c F z o M r y D p a X K / t L X j x z 3 C v v l 3 g V 8 9 N P j j X J s I 4 M l 1 O P E L W Q D I K P k M D e o E I X C 3 J D 4 6 Y 1 G o h o M c v U e D d 2 Q l g r 0 K x V m R e g Q 2 0 R A i B / 8 V x E a h E b o e 8 j f x 5 K Q C X z s + D E 5 n g j P n j 6 j Q 0 2 H j K 3 5 u P z t F b p 4 6 V M u s Z o 4 4 W H 7 J 0 i 9 v b 0 0 y U Q 5 d + 6 s v G d m Z k Z U w H J W 0 b T 0 h R o H 4 D M g U i D g J 7 s z S 8 4 Z B I I 6 W V 5 e T l 7 v l J B w o H + Q i Z h F O 3 b U i F S C t M N v Q l h p N R I J n y 0 s L K Q / 3 t u 4 z g r b l 3 c 2 J q H c R Y f 5 C c 9 k 4 i e 9 J l K M U D G k S i Q A b m 3 0 J 8 H J E A V / D y R S H z f 4 P F b T c n N z q a O j k 2 p r d x h v U I B N N D A w Q I e P H p H P P H 7 8 l B t 3 K d t L 1 c Y 7 Y h g f H 5 f v s f Y 3 J c L T J 0 / 5 4 e G n P X t 3 R z 8 D Q h U U q N A m 9 H e x n B b V b v f u + n m e Q g E I J F Z i D G Z C I Y G s g 4 O D 1 N y / M W 0 q 2 x 8 3 I K G c h S D T 0 l S 8 l S D D x b a K c 4 7 2 b Q 1 G v X I A S N z S 0 s p G / h Y q K i q S h q i B Y 1 N e L x W Z Y v i A t 2 9 b a M I z I Z 8 B C g r z K S c n N y p t k m E 6 Y B O C W 4 F G v 2 X L F p q c G K f 8 g i K W y c I X e v + + n X b u j H U S J 4 L 5 f A G 9 j R w S D F 5 C d I T f f N U h + z c S N h y h f m g y u e x z 9 E m d X x w S i w G / P z I 8 z O q Y I o l G d 1 c X G / u j 1 N C 4 h / w s V Q J s o 0 A F w / v H W C p 1 v O 8 Q + + r C R a h 7 C r C F Y D O V 8 f t y c n K M v c m B 6 5 9 h d Q 7 S U m N g c E T 6 n L I z X Y Z a t w C Y P O Z L T E Q q / M b 1 5 n b Z v 1 G w o f q h X K L m L U a m + W p f K g h G b K o D d w l 4 9 f I V d X X 1 0 N W r 1 + k l l 0 d H R 0 T l g t v 6 y N H D E v Y z P T 0 j 9 l 0 X k w z n V V p S w n b X U S E Y 7 C O 4 x o e G h i Q 0 a J J t p e z s b H r 0 8 L H x C z G 0 D j u j I U / 4 n t H R 0 a g X b 8 h r l 7 i + 4 q J 8 K i 7 M o 5 l w J n / n s B w D o A 7 O A 3 9 H 3 F 0 z 7 h n y u x 0 u m v J F q M v j p k 8 P 7 e K 9 8 + t i v S b b H + 8 + W X 7 r S S O 4 i 5 q U A 4 J V q m R k M p d X i l M 1 f s o 1 4 v O s g P E + z A 0 W / U f w 1 M F L d o 1 J d e T I Y e p n K Q O 1 r r C o g O 2 p P m p t f U c / + / l n x i c V x s f G K J v t I P M 4 K Q 1 0 7 p a U l t C t m 3 f o 7 M W f U C a r n I b w E N z r d M s 4 L X Q k U y R E d p u d 7 A 4 7 e V j y h Y I B K i 2 P S c v + g W F 6 O V l l b J E M S z H j 2 5 d h + p P 9 D j Q j Y w 8 3 K e P H + F f J y d / b x 9 e z r b K C r m 0 Q S b U h C J V Z 0 s R P 4 B + P T E B e R o R O 1 s S P S d L A b 9 2 6 e U u i y U G u + t 3 1 0 Y Y I f H f 1 D h 0 9 3 M g q 2 S x V V G 6 l t 6 9 f 0 / S M j 5 w u F 3 + m U u y m R P 1 P A F T B x 4 + e 0 L n z 5 y R k S e P C b j + 9 H 3 V S x 6 i D f 9 N H W w t Z C l Y p D + Q U f 0 a r f p B 6 k H I A + t I 0 q o t C l M u 2 W G V B m E Z G R s j H D 4 K h c B W 1 M O H / 8 m J t 3 P l b 1 T 8 k a A U 3 X n X K / v W M d R 8 c m 7 u l i W Z n w 4 p M 3 J B / D D I B J 5 K Q C U B D K 2 d J s K N 2 B + 3 e s z u u M U r n b + U 5 e j h Q T h k Z L r p 5 8 z Z l Z e d I f 0 9 n Z y c V F x f L + + E a T w Q Q 7 f R H p 2 l g J N 7 L h q D b X a V K 5 0 P j L s 9 T I U x D g w N s x w 1 S d 6 d y I G g y W Y H I d p A J K C 0 t p c K C A j p S H a G y 6 g a a m J g Q K Q u i A e Z 7 j N + C 6 x 2 1 8 U l D 9 b z 6 W W 9 p X d t Q D n c e e b 0 R I Z N U s q m i N V Z C J o Q D J Q K G m e M M F g J c 4 0 M T I S H Q l D / 2 7 m m v h 4 l v E / v E 7 4 K D I Z u q a 6 o l o R 8 I A b t 5 e X m U x y r f 1 1 9 9 G 5 W 4 a L i v X 7 2 m 1 p Z W 3 h e m l 2 N l 6 g t N 0 J E a W V k 5 9 G b Q J d v v Z 6 u p b M t W 2 l J R K c d A j L 7 e H u k v O 1 r S K / u A G + 8 y 4 g Z I a l f 9 x X o f F T C 5 I D V L 2 L 7 D + e j 7 / f T J M 2 p v 7 6 A e b y 7 1 4 j t 5 3 5 b C X P 5 U f D 2 t p 2 T 7 6 t 7 T 5 b e o N Q 5 b 7 i F R q d D Y U J k 6 a Z j L q Q B i / Q I 3 p E T w z g a p 7 c 3 L a I e s l j 7 X 2 t w y j O I 0 h q b z r j u m e S b k + 1 g l 0 3 j U 7 a L x G R X E k u 0 K U 7 j 3 O n 3 y y W m 6 c e M W 2 1 l N l M N k w r f e u 3 u P j h w 9 I t e H h q y l y / 1 O F 0 3 6 l h 4 E g 8 9 X F M x R u a N X O n F r a 2 t Y 2 o y K B I W 3 z q z 6 A W d q J u T 3 4 G J H P C H U T L j / 5 f f 5 x A L + A L n Z v u v u 7 h a y 4 R j e g z L c 6 f f a + o x v W n 9 Y t 6 F H z o J D 8 r T V T 3 A r m X j D K K S O 8 M y I e N b Q s W p F b p a L D h 4 6 K H Y J V J 3 b t 2 7 T 1 9 8 / i I 5 J u t P h j p K J b X Y J Q c K T / + 1 Q r D / p 8 P b Y + K b Z o I O m i 8 / Q / / n 3 a 9 R 0 6 A D d v f e A Q n B i X L s h K i w k B V z c Z l U t F T I B I M 2 Q 1 0 n N E z X U d P i Q z G N R t 6 t O o i 5 e v G g W Z 4 T f N 2 O 8 m x 8 O t 5 / I S F 9 I Q n g D t 2 3 b J t u P H j 0 W j y R c 7 x 5 + e 0 e f h 5 4 / b 6 Y H 9 x 9 I v x t g 5 6 f H 8 Z 3 x 3 Q T r C b a v 7 z 1 b f s t a o 8 g q 4 w Y 9 Z X F C g F D G c W C 5 0 g k 4 v 8 t H D h u i G J 7 Q U U Q 0 L A B f y E a 3 3 r s T 8 h c z F X k D b L A b U z Y g H l A 7 C g D s / 7 4 1 5 l j w z U z S z w 6 5 W D L d p 1 O n T 7 J 6 6 O U a t L M U 9 r P t l C f 9 U B h E m J 3 N j X u 4 w v i U w n G 2 6 Q o y Y y f x v M 9 F Q 1 N W 4 s 3 R o a I e t o k m a X R s j M b G x i n D z b b X r p 2 0 v W q 7 R M 9 r n K v z z x u 2 D 0 D a y f A P l s x 4 h D x 7 9 o w K C 4 u o r K x U I j Q A P O i g O T z r n v 9 A S n e s S 0 J F s v d H p R M S Y C b Q S s g E 4 I l t n v M h E T A C 9 8 3 Q w i F B h U y o M N t L Z h s K 2 F 0 W j I 7 w B R A D i F h A A O F L X 3 z 1 H Y U D M 3 T y 5 H G J d g B a h p 1 U l e + j r A w n P e 9 3 y 9 B 4 E D / + m 5 e O h w 8 f 0 r F j x + j 6 9 Z t 0 9 u w n x t 6 Y 5 w / S 9 V y d T 3 m 1 L M D 9 h Q O l t r Z W p B Y e O t j X 3 M y q M E t v k A 7 1 8 7 h D O T H W E 2 x f 3 1 9 f h L L n H S S f b / X t J g 2 Q C a o e b C M E g i Z C N 5 P p 7 S J k A v B d i E z X 4 5 7 M g O k l d h q f 7 p X W T H k v G v N F z p 8 + f k q H 2 Z Y C b v L n M R o Y K m V u R o R O V A c S N v L l A H P + P X j w S B w U h U W F r F p m U b f t g H F U A e e V D O P j H p F W 3 V 3 d 0 q 8 G 1 R B 2 V V V V t Q Q k g 1 T P e 9 a X l F p X N l Q 2 q 3 q B Q E z N W 2 0 y N W 1 T r n A 0 t G R k A s x k K s 2 J S R o z d K N P R C Y A p 3 q F C W T 4 N K K S 4 b u 3 7 i i Z A E g K b Z 9 5 / X b 6 b p E o j W R 3 I C 6 Q l 4 H 3 g U C Q T l u 2 b q G 6 u p 3 k d D p o y h O L o A A e d r v l 4 f X 0 6 X O J D 9 Q a A V D E J M R n w m x r w c m B q I 6 + 3 g F q a 2 v j 6 2 e V k N P + y g L j 3 e s D X K / r 5 2 9 6 W r m P r U R a L b w a U M 6 E V 6 / e S J 4 I 7 a P x w a o j 0 4 l H 6 c I R Y f W e W Q H S Q X U 0 Y 4 5 t J E z q o u F k O 0 b 3 K Q F F W b E G n Q g j 3 s T n Y w 7 e B U A v k B k R 8 T O 5 B 8 T + A a l + e V z Z Q R q e W T u 1 v + + g p q a D o n 7 C b m 1 t a Z M c g N M E T p r 9 + / e J 4 6 J 2 Z w 3 V 1 + 9 S w / Y x n o v r y V y H a f / 3 z Y P n q 9 / y P g A c + Q d Y c s T H 6 a 2 m d A K g 3 r x 6 9 Z o a G x u M P f H A p J P 3 u u a H A y 0 V W 5 k Y + y u C 1 D X u p K 3 5 Y Y l q 6 P L M j y Z H Q z + z U z k F e p l w 2 w r D d K c 9 g 2 Y M K Y O p y s 7 W x Q 8 + x L D 6 g g X I h n 4 m T P 2 s g c G H U M / g 5 I C q h u H u Z l V y c M p B L / q V J K 4 t C V E d J z M Q U o X I j t 7 u X q q u q R J p p I E y 6 g i j f R H I C / K 9 G U b n b / p j 3 a h 8 g Y B y Q P x Q Z A I g U f q c h 6 l 3 I r 6 R z w T t c i x V M j V s D d J O U 0 M c 4 E Y K l Q 1 h P i B F I j I B u B x M t 4 w m + m 7 E K a o h y K S 9 b o m m K l u I T G j Q m W O 3 a G x s j G 7 d u i P 7 W l j K 7 N i 1 T 4 a 9 Y w 6 L Y C C e o F u Y / H j A I F n J B G A 8 F Y J 0 2 z t U B A b X i O Q A V G Y M Y i w u L q J A U P X L r R e s C w l l z z v A + n l Q G o Y m 0 w 9 B K A 3 Y L d r V b Q X i 3 U 7 t i G 9 8 V u B 8 M N g v K 0 u p f I u p f g s B w a 9 w z S f D + T q f S L T v 2 9 R v g A D R K c 0 Y 5 + t m Z M i 8 W Y I A X q 8 3 6 u Y G E F b 0 r u 0 9 n T x 1 w t i z O E A c q H k a + j f e t r T Q n t 2 7 o 9 4 + l V h V H E v u 4 E g X c N P A R a Z v c r i z W T r F q 3 k / J J m A T 3 f 5 q C w 3 L A P 3 o A b 5 / b M y m S U a 6 2 J k A t C w N J l W C p A p 0 2 L / m H H 1 X W a U T A D I e 5 X J p A c d j k y 7 5 p E J w I B G M x C / F 2 I C p A K Q C a T S 0 H W B O E B d T / j t W U x v x q e Q K U u C x O o 2 H R O c L X x R 6 Z v m M u q i d h N v c T J j 9 c m k b R P M F X G a y Q P X t r 3 n G 6 p h N W 2 p U O c a A 6 5 j J f C x u g d i f 8 J 2 V V N l 8 q B c A L M a w f W O k b x A 8 4 B L V D 0 r q q q 2 c 4 M 3 N g x A k q Q K T D l m B r 4 S Y 7 l A J E S h 9 3 T 3 U E 5 2 j j T H y h w 1 / 3 o 6 p 7 S 2 o d x Z + R b p F H s K A t Y G s R K g w W I W I 9 g 2 V i B Y N R W Y n 9 p X 2 2 J r O q 0 E 8 B q i T + p p 3 8 J 2 H B Y e s K q Y 5 s G E w I M H D 4 1 G r 7 a H D M 8 g O p K 7 m Q C p A F O Z 6 S h 0 A V 8 s A m Y x c B K k q q i s I J u h c o 6 N e y j H Z f x o m i K t C R V 2 V U f d 5 P O w i m y C F E J K N q y 9 s n K r U V o c a F z m I e q 6 0 X 4 o H N k W i I v 4 e P b s O R 2 3 z M R U z u o t A B U u L z + P n j 9 / k f i e J w H I Y p 4 S D X 1 T C I 8 C E E Q L d z O k V U l J M W W F Y j G D 6 Y i 0 t q E C g Z j N p J P G a t H p I K t Q k E 6 J A E k D R 0 g q T 2 3 Y I l j 7 S Q M x c f U Z b 8 X R 8 S E w 5 x + l + / f v y 7 0 D 2 R E a h B i + Z I D 9 c / D g A b p 7 9 5 6 x Z 3 H k F 5 a K Q 0 M D w b w g G Y A c v 4 0 c S + 1 k Z C J 2 M b 6 e 0 y m l r Q 2 V U b z P Z D t Z s T p 0 K s + N S E o E R J t j y i 9 4 w x Y L k L U i N z c n a o + g M Q 0 O D o m j Q 7 u h k f Q M r o m A W Z T M 7 1 0 J B l n d O 3 / + H N 9 T m w y z g P T B + e G + Y u R v M u C a Z 2 Z i q u t C u M 6 q K I b Z e 6 e n 5 b 5 h / n V d Q / h d R L U j h 7 R C m N P A 2 + f R e k 6 7 d P l R 8 2 o 9 z H 9 U R L L 2 k V 5 m R t t Q G u b y S p C s s f o D A Z k T H O N 7 l o u n T 5 9 J H 0 8 g g A G D 8 d E H G s n c 6 c n O C x H c D 3 r z W N r N S R i S F S U 5 Y S r M n K N 3 O p p j L k L 1 W e / I 7 s y k q s o y i b m r q o 7 N I a H x 8 u V L 2 r d v n 7 E V w 5 s 3 b y m Y 3 0 j 1 5 R F x 3 y + G / v 5 + K i s r k 8 G I G r O z P p G Q m P A z y P f C H / B L P h B c P B Z y L S I t C W W z O 8 n v 2 C V P + Z h D 4 o c n F L 4 X s w 8 h X r C + v s 7 Y u z y 8 e f 1 G J m l Z z K G B G Y d e D z p p 2 B T C l I x Q m O c B U z C b g V u B 6 P N D S b x / 7 e / b Z V p m j A Y G 7 t 2 7 T y d P z u 9 r A l l x / X o C T J l R d m C Q X o x v p d z 8 Y q o v C 1 K N K U I + E f D w u 3 / / A Z 0 + f U q 2 I Z W w D 2 p z K I Q + q Y A 8 J P F b A w E m H R 7 5 a Q Y m 1 M u 0 I 5 S D n 4 r T 0 6 o j V 6 t 8 m k R L J V O O O 0 L T g d h T H P F w Q 1 O x R o u h 3 a h P N J y H D x 9 J 5 S O 4 8 9 K l i 2 J A r x R Q e 8 r L y 1 L y E K I / q b 4 k S N u 5 4 Z r X h 9 K A B K i o i B 8 H t R j Q e K c m p 2 S m J E Q 2 Y P o y X G s y Y A h G T n Y 2 N b 9 8 J b P Z T u Q e i 0 Z m S B f C E j j g 9 U 6 L W g m z A w M S b 9 + + K y O R M f 8 g l t O B 1 M b D c m Q u N v 4 q X W C 7 8 j j 9 C B X K a J R Y M Z B p p e o e 5 h 9 H 5 y j 6 c g C 0 J Z A J g D R C V H m y G Y Z W A m s U w W o A H a 9 O D O 5 b A t D / h N U V g Z s 3 7 z C x c 8 Q h k Q p w r 3 t 7 + + j N T E x a L 8 W m u 4 s B k k b E B b 4 D D y 0 M 8 w C J o E 5 j 8 Q I / k 2 q M 0 o 9 Q H 8 i 3 t D J o V 3 m q 5 E k E R E u D T I 7 g O F W E H t P R 8 t g Q B B j d P w S Z g E V n Z l 0 G Q C Z I n K X A H E P 4 8 c e n U y Y T A E m G l e r N n d q w + z B + S w P b 1 o k y D x y I t 8 c k 7 k 8 c I B K v b e T p i b Q j l L O g c Z 5 U 0 l g J w T 7 d l 0 X 7 G h v F L Q y V D u o k h m 3 / U N C k X W 3 g v J c C z M y E g Z C 4 Z W Y C L A c I u z p R E w u 5 w n e C S E i w i + D l Q 8 2 g 8 x k x k D 6 2 Q a + 9 U 8 c R D B w I z 8 m 8 7 V F N U 3 G K g h N e t Z 1 G Y J X v 1 f J b 4 Q d A J K s h O i J 3 p e o e Y J 6 Q E k M W I D k w h s f j 8 Y j N h O 2 F B h M u F 1 B v 9 F R c q w n M k Z e K 9 x F k 0 r d t K e r a Q s A E N G U 5 E e o Y j 3 n x E G f o G R u m z L x y Y 4 + q J 2 2 n y b I + X I 9 n d 3 j 5 Y a D m m o A N p f I A T b p W / 9 7 / k F C r F a d R C o X m e / V W A j O Z 8 H Q H k e A w e M g G O p b A R G e n u Z d / t Q A P 2 Q + B / r 4 B o 7 Q 0 X N g V I 5 F e K G 6 5 w B R p N n t 8 v d S X h q j Q 9 8 r Y U j A 7 P a Q a + Q V T R A O Y Y 0 N D v s l U 9 + m Q x C m T L i m r s G p V 1 T 3 z 3 O P o o E X H J v p J M D L 1 0 q U L s n / X r l 0 y / x w I l w 6 Y 9 S 2 t s 1 X D 1 L Z l O H 6 y I f l L h S s 4 R p 6 R W C R I r p t 1 P J Z C W N 0 R D i A r 8 P u o B T 0 4 8 u V A T G p j z 8 i o f 1 4 7 W M s p r W y o Y C R X i L M a 0 k n G L Z n 0 / m d P X x i l e M C L 9 e 5 d O / 3 L P / 9 e 1 m 1 a L c Q F j K 4 i l m p D m W F W 9 V Y q p a q 3 F t D n h z L p V M W w f G 8 O P 7 T g d M D 6 w 8 e q A t S w x R q x H n N A Q G X 0 + v S W w v D I y t T Q H x t M K D O / 1 n Z i s y N K p p U S y z x u a Z z V v B M n E i / N O T w 8 T L / 6 1 S / p N 7 / 9 O 3 r Z / G r V J B V W C f w h k H D l w S U A c w J q v D F N u r k c I P h 3 m B 8 Y d + / d l 6 V 6 s L K H x j Z j f n R A 6 g / 1 K B t q b F d Q n w a q n B G G J 8 P S D t Z y S i s b K h x W J F o J k Y B G o / 8 F g H 3 k s N u p u K T Y 2 B O P / r 5 + y a H 3 o + / k z e u 3 q 2 J T o d G B o D q m b 7 W w 3 E 7 n I 9 s D 0 Q l e e j x O 8 c C t B J i T 7 + S J 4 3 T + / F k 6 / + m 5 p J I z R i r k a l / f p C N a l n N K 0 B b W a k o r G y r C T 6 u E Z E q F Y H N h q s i L V S 5 m S V 2 o r 8 k a y Y D F z t 6 / e 0 8 e z 4 S x Z / n Y t 7 9 R C I C O z d U C F h d Y K q 6 9 i 5 d m T k u f M O a q W A m 0 8 w H X m K j e c F S I F I U q v x t R J 4 J j 5 b l c V 7 z b 3 A 7 W c k o b l c + d U 5 a 0 7 y Y F O t H g 4 3 + m 6 9 d u 0 P X r N 2 R C k q 6 u b u N I Y s A 9 b w Y a S d P h p q R z m 6 c K u L n D 4 Y g M 6 u v r i 0 2 i D 2 / j / f s P J S I k F W C 5 m 6 U i m + 1 I 8 z R l 1 n i / V O 7 r U h E n + f h e 4 k / k k 0 g p h k E 8 T b S x W T s N D W O M V O J 2 s d Z S 2 j g l b B k l 6 q a n I o 0 S o K D x P 9 A 5 V k P O n j 1 D H 3 1 0 S q I E F k K y B g o b C O O G l q u y Q Q V 6 + f K 1 f D / m J c e g v s r K S i E 5 i I q + L 9 h 1 s I m w z 0 r s Z F h s E W u N m + 0 Z Q q B t B S H 5 b i y 0 B n u x M f c 9 e X t j w z b Q + b t S m E c E F 5 u H p U h d c t J V a i J V C J f L G y 7 b H E 1 M p o 9 j w v b 9 s z f 6 c t Y 0 b D l 7 y O s 1 B 8 S C X O p Y K i S D j i t T H C 8 B + F 5 4 + R B e k w z T 3 B C z M j N T s l 1 u 3 7 4 j E d f m / h g r c I 3 m 7 8 Q 2 B v U h E l w m 4 0 8 C x A i 2 t b 2 T 9 0 9 N e S n C Z G l o 3 C v f h Q T C R c h J O V m u B c m n J Q n W w M I c g M s B 7 h / W D s a S N 1 q t v t u R Q d 6 A G l S I C s R 5 h s N c p 5 w w P X M 4 G O A 6 D l I 4 F K C j l V 6 Z H e p h J 9 t 4 T W r 9 q r W O t J F Q e E C b i W M q p o R k U y M n A 0 a R L g R E X i / V B Y 7 O X N h L H 3 1 0 e k E y A e Z 5 J w C Q A Z 9 D j i E W y S Q j y H b g w H 6 J z f v k k 4 / o 7 L k z 0 r e G x d D Q z w a b s C A v a 8 m S D P 1 S W E o 0 V U B l / f 3 / + z f a t a s u z k Y F m T R Q n 0 o m G b l s y w F V v / w C h R C 2 c 7 q A H 9 j p 8 Q e h Z C Z U M i w 0 p R a Q S s c l f q + g c P H g W E x o 8 u T x 0 w X O b 4 6 e P 3 s h i 1 G b 5 5 N Y C C p Y d D 5 A R C 2 l E M 1 h / c 2 l E m U x y I x e B k C o p X r 9 J i c n 6 M r l 7 0 W T + P x n P 4 3 z 7 m F C G g 3 1 P O F z 5 / M X Y h l J t n G E c 1 n C 1 S i b 2 8 J a / k s b C Y V 7 r X K j k A R 6 G E Y y p D L d l 8 Q L J p v R 0 g J M 4 I / G g y e z G V B Z P B O T d P B Q / K o V i w G T 9 C 8 U n g R J d e y Y W r 3 w z u 2 7 s m 9 y c k r s o N V A f e l 8 C b h Y p y + k L 9 T M C x f P y 9 w Z G J 5 y 5 4 6 a e w I 2 U S h i r h u U Y 6 q f M I d f o t t c f j X g l O 3 F 6 n w t I W 3 6 o Z L f 1 N R u d n n e 0 g g C Q B o 4 X U t / 4 i P Y F e c J U q E h v X 7 9 h j I y 3 B L B n i p A T k i 0 x Q C J d P q j U / L + K 5 e / i 6 4 X l Q q 8 l v W p A M y X b k U y 6 Q 4 7 C N e N 1 Q o x D 7 p Z n f 2 Y 1 d T R S b 9 M u B m F Q R J V p z E p Z E 2 T i J o w y o n a x F p M a S O h k i I F P s 1 4 J + n K l e / F B l n K u C G R U N A 1 U w D s F M z b f f r 0 S Z k z Y j F b K R n g T k 8 F I N b + A 4 3 G 1 s L Q J o k e o W y O a T Q D o U N j X c + M L Q W t + n V 0 d I j K + b 6 9 X R Z V w 2 q O i M 6 3 Y j K S S w + 6 4 / v G o q T B n 6 W s C G a U 9 T H Z n x 5 I G x t q N e 7 p / m 0 2 u n j x U z p x 4 j j d v H H L 2 L s w F v K o J c P o y K h R W j 4 w e U m q c D q W J k 3 h 6 c T A S v M y O I m A O f p + f W F + i B Q 6 f D E X O V T O n b W 1 4 v L H L E i f f n r O e E c M 3 R 6 n r M J h h t B m T o x i R R Z J s W 0 z m W B H O W 0 R U 0 t Y 2 3 9 p J a F W w i k 4 K 3 Z u U R U L q f H R x 6 c l w h z T E O s n I E K K z E Y 0 9 p s l W X O / i / o n 7 T Q 2 Y 6 f H p j W a 5 m F 5 Q i k O V l t s K U i F / I k i v 8 3 A P B r w F M J W s 7 4 X d 2 u h r g Q N L M S N Z X S s 0 L d H k w f k i p V j Z E L q m 7 D T 9 o K l 2 7 0 f G u k T y y d Y P q W s z g o M H M T c B j D 8 v / z i K 7 p 2 7 b p E J W C 1 c g R 0 o v 8 E n Z 0 y V x z / b P + k Q 9 Z u q s i P q M W l t w c o k K S e l 2 P H W A F v W a p w s 7 2 2 H F h X L w T M 6 t t h Y + V G M y K O h U O c o B p C O i W C 1 K K J N P N T j G C D k 3 x u L K E S t o k 1 m G z X X r Q s v 5 X + i J i 1 7 Z I 5 2 + B 1 0 z d b g L I q L Q x + 3 / j z / y 3 9 M Z h h B 5 E I k A J w Y y c a O Q t J B U J h S Z e + K R c / J e e r R 3 A A W m d 8 1 e e G J / t y A b t t d H R U + o 9 S A a 4 n 1 d H F g 1 N 2 2 p L A U d P 8 4 i X b Z L G 5 H 7 C 4 G h Z Z 0 6 j I D 8 u E m 1 b A P k u 4 L K m p n j C Z Z S Q S N j p 0 V S 6 J 7 3 k o F O A 8 S K E g k l / S t t x p q t m 3 N P v w Q 8 N 2 / U X r k t r j h 8 a M r U 7 U L z g K 4 g j F 1 R Q t L o D Z 2 W k 6 W N j L 5 H F S d 3 e v 6 P 8 g D I z 5 x W Y f w g T 7 e i Z X S D E 0 9 t e v 3 0 p o E M 4 D 0 w y j I x Z l L O 6 8 b w W V j w 5 b 2 E 8 I R 0 o F o 6 y 6 4 m G T 6 j w Y I I B E S F u A B w r u D V R i P H Q Q D o X + t p c D G T R o L B 5 g H T I / z q r w o y S q 8 I 6 i E L 0 f x U O G 6 4 t / N E Y o F f q k C I V I m C C F Q S Y m V g h R E 0 y o f O c M H T w 2 f 6 L N t Y i 0 s a G W 6 S y L A q E s r 1 u 7 J H 4 O j 0 o E t 4 J I U P u S o X f C I Q l k Q q W / e N F M N 2 / e p g K W A n B u Y A 0 l T 7 h Y + q B g k 3 3 8 y U c r I h M w M D C Q M p m A D F Z N l z O p T C I y A X h o I I A Y s Y a I J 8 R 0 A L A 9 7 W P P q L Z 4 v q 4 L F S 8 Z m Q D M M 4 G f 0 g 9 D q 9 0 E q R X L 9 T H O I a 2 n V 1 j 5 P y L S y I a S l w R I t j 8 e u X l F 5 K y + R K f O f E q l Z S W U w 6 p c Z 0 c n D Q 8 N s + Q L S q e o j u w e 5 i d w i A U S B s N V 5 i O I 9 R X d v n V H Z l f F + B 6 E G w F b t p R T V W F w a S r n E o A 1 b a u q 5 k + F v B g w Q a V 5 t c H V A M K F E E B s B g i F I S f + 4 R d U w g 8 Z e A o h 4 Z J F U S S b n j m O M A l z T i A W f 7 n e H 9 c W 1 n B K H w m l 8 x W K q m + + v i y D C f P z 8 q h u V x 2 d O f s x v X n z h p q b m 2 V x s G D Y J q s T 6 t A b q C Y g 2 o G D + y U O z u x J Q + P / 7 r u r 0 X P T u H b t h i x u 3 d H e I Z 7 E p a I v x Q l W N N B 5 v J p A I 1 5 I D W 5 s a K D p 9 u / p W Z 8 7 s b 3 E a N w S l A X g o g A x R D 2 3 J C E O i G Q h k 2 y z r W X k 6 Q L b 9 e a 2 1 X r A / q D w 2 e u 4 Y a 9 8 + j D o 5 J / t S / z + q z f v 0 y e n j k T j 4 W A / v H 7 1 R g Y V J h t a D m 8 Y J s S 0 Z x V T Y Z a a B d U c r 4 d o 9 E F W 4 / y + A F V u q 4 h O 8 Y V F x w b 6 B 2 h n X a 3 Y J h g L 5 Q 3 n 0 r Y t h f L Q w F T R S w W u f 6 U P G j O u X 7 8 p o U / J g A j 8 b d s q 6 Q / P w p S Z F R + b e L w q E L d A 9 r d v c d / 4 f v M / y A E n B B 5 S 2 h k R 7 5 R Q N h R s J 5 S x U D b q K 8 L p 4 q U m 9 Y V r H K J C p 0 d a O m k W g t O V E Y 0 Q g O Q x R 3 V 7 P S N x D R P L z C x E J g D u d 6 x m / v T e V e r h h m a N r I B 6 u H P n T h l C A T L B E z c 5 N U W 1 t T s k Z A g u d p w H Q n b 2 V B f Q 4 7 Y J y n I u v d 8 F Q 0 H M f W e p A m S E d N Z A h I Y m U z / b j 4 k A q f v k y V P 6 2 Y H Y v d L L 8 S R a b V 6 k T t J k S C P j I a l z 9 d C M p f i 2 s I b T j Z d p I q F s O 8 k f g F t 1 / k r v O k 8 F O + w v + e k Y E S l 0 6 v R J 2 Q e v 3 7 f f X K G m w w f p 7 Z s W 8 r F E / M U v f i 7 H 8 D 6 Q I T c 3 j y W Y g 5 + o y q O G z m A M o 0 d H J x r B t C 9 C + T n L n 8 C y v b 2 d i T w c n f t 7 K X j 7 t p X 2 7 F n e p C / o w N 2 z d w / l G T Y Y o i O W M i 2 z V R I n A q r l c g u W P G V S w L M 3 p y S T W U K J l A q h D O k E K Q X P n p J S k E 5 B T j m Z 6 I j f b 3 z r 2 k b a E M r h L K R x X 4 H c d K 3 y r Y R Q T W X D V F q U J 8 4 I t 9 s l k g a r Q v C 3 S a i M 3 w f p N S P S C S o g f h M J 2 3 D f o 5 z F 0 g f h J p m y 6 p 7 C S h c B w O f x / a n M / j o 4 O C j 9 T w t J 0 m S A Y 0 a v C Q U P Y 2 5 O L u U X L G 0 + 9 1 c v X 1 H j A l 5 N T L c c C C k p J P d v E X U P u S K S 4 T Y X l c 9 H u 3 d t o R 2 1 q a 0 q 8 q H A p n d C w b X m U j i E y I H E x M E 7 U o U j Q z V Y h 8 N O r a 1 t M j 0 Y 1 n 0 d H / f I G k s F 3 K j g K o Z 9 B K J h y R V 0 1 m Y z i d B 4 4 Q W D h / D 9 + 9 h S l 2 g 0 8 B i + H l y e h M J I W x A b 3 w M P 2 l I A F Q 3 O l F S m N 9 M P I B C 3 u q Z a r g v S u b e n b 8 l k A k A m O F 8 Q W Y I I E 0 z H B i m O e 4 D f U G T i B G 8 d X 5 O S V E a O / Z K b 9 i G P l h X 5 s F 1 d g z W M 5 7 e J t Z j S y I Z S D S G h 8 b 0 M g 1 y v l g 6 n A t z f r 1 6 9 k c Y J 9 7 g Z M L 4 r K r b K 6 F c z I L X g S K h g 0 m l g k C G I a J 5 7 L h V g J U N c H 6 R T l k N 1 m v r Z P D L a f 0 L A / k K w L 6 S i t q V e v H h J I y O j c g w Q g v K 1 g T T / / m 9 / k G s G e S E N 9 f 3 E g 6 J u V 6 2 U U 0 F j Y 4 N 0 J W C Y O 0 4 U 6 i o 6 z x V h + M Q l N x G G c 5 y P z m N l Z T e J 4 0 L I p N 6 P M q Z 5 0 2 1 g r a e 0 m p e P 7 z C / c H E Z B L I C Y U N f P o d E C Y i X D W T 6 t 3 / 9 A / 3 y P / 3 C e E c 8 E J 6 k h 5 0 j r g 9 A I y w q L u I G g T F Q E 9 J H A + R l z j f M F w P s M D g o t K R B I w I y n L h e K c 4 D P I U 4 d w D 2 j I z g 5 b / d u 3 d R a W m J q L P 3 7 j 0 Q + w 9 z A E 5 O e e k X / / F P h X w Y m m 5 W K 1 W o 1 P L v K y Q r h q 7 g t 4 E H n Y i B V G Q R c h l 9 S j I K V 7 b 1 M Y N U e t t E J J F Q v G 9 e O 1 j D a W l 6 x R r B 2 Z 3 x o S 4 r J Z Y 7 M 5 v e z e 6 Q M h Z u x q j a Z H Y I J J i 2 j e D S B q n g m N C A t E K j A v R Z I U 5 u I X C 7 i g I N B + s o 6 T n 6 t O v e D D T G j s 5 O u n X r t q h W 8 B S a s X f v b h o c G I x e A 5 w m J 0 8 e l 9 G z m N 1 p K 0 v i Z G h p b U 0 5 D t A K u N N 1 n U x g 0 K I I K J P k i S N M r K y I Z d h X m k h y D P n y p P 2 H A t c 4 b k B 6 J K 8 P 6 7 y u n p Q C M P 3 v K 7 Z 5 4 J i o r t 4 u I U l W K A m k A m m B H L d i g t 8 U k e 1 h 2 8 s K B J 2 i o 9 g 6 I n b I q 4 i m L 6 G n p 1 c a s 9 s 5 J 3 Y b V D L 8 p h V Y K H t H T Q 2 T 4 6 O E j R / 7 o O q h r y 4 V Q D U c 6 B 9 c U U A v J D 3 U Y 0 B P A Y a 6 E u I I Y U A Q l e v O W q X e J U u K W G W l k K K x N r D W U 1 r Z U O 2 j 0 / R x z U x C M q 2 E Y H 0 T D m n 4 e J K j M t E 4 z E D j r q r a b m z x b 3 G 7 w 8 Q l G C 4 B u w W / j f i + R M C q E t Y R s e W 5 M c k G N R I 2 m h l Q J V v e t o i q B r s H H a 1 w P G B h 5 8 W w f / + + l K I z A E g 0 9 D 0 9 u P 8 g a o d p d J n W e l o I u G + i y n H 6 v s 0 d J U 2 U S E a S 9 5 l y l U C e 2 L a Q y f A I n j i 5 P 2 F b W K s p v W w o T p E Q n t 6 p 2 y i L A d M S I 1 o a 0 s K q b u H J D S N e P / n x H M d 4 q K a m Q 2 z Y + 2 h o Z E w 8 g f D M Y c V 2 M 2 Y S j L Q H U b 7 6 6 h s p I 0 z J O j A Q v 4 M V 4 h G Y C n K h s d f U V C 8 5 a B a 2 k Z o w J b W F D Y 6 f O E 6 P H z 0 2 t h S q F 5 n U B p I b w L g x k M I z w w + g K D F i t h K O m V U + d d w g j 2 w r A p n J h H 1 2 B 1 e 6 p Q 2 s 5 W S 7 9 b p 9 v m 6 x h t F Q l k U P e 7 P 4 y Q 9 P k l I r t H a U S E 1 K F R O j / Z R f r C K r z Z h o v U y f X z h K 2 W x H Q Z r d 6 3 I v O M O S H t q A i U b y M 2 P n h T 4 j O B L w / Y j o x v g s K 1 6 9 f E 2 N + x q M r e V j s X 6 i R I D 6 h 8 8 d P n L Y 2 L M 0 C C n 4 / l 9 + C 2 c E 7 C Z F F D N B V L 8 T y u h 7 4 j L 6 n t C Z a / R D q T 6 o g H T m o g 8 K D 8 9 f / m e 1 T l e 6 I O 0 I t T X b R k U 5 m X S t H W t F q X 0 x I k H l M I o f G F j h o z I / T N M B x O W p 9 W y 3 5 v r J l c D Z Y A Y i L x C E u x I V 1 g y 4 x t F R v d j v a t y + e 4 + c L J E x R w Q + a 4 5 i x + j m m Z l p m p i Y o s O H D x l 7 F U C e a 2 0 u 8 g c N J 4 R I m H h C K T J h W 5 N I p V A Y x D I I x e q 2 E C r o o 5 2 1 W + j g o T 3 G L 6 Q H l m + F f i A M z M x J x Z R l w 4 V t Z c / q N M L V w C t j J T 7 t w K g q D F N r S 4 u U F 4 L 2 F C Y D 7 D u r n W M G Z h / C n O t Q + f r 7 B 6 i 7 u 4 c e P 1 R q H M 4 E q m s y o K P 6 o 1 M n p V + L b A 4 h 0 5 M n z + j 5 8 x e y i i P 6 6 x C X 2 N i 4 1 / i E A h 5 o A 5 N 2 J h P K k F Q q R Z 0 O R h 5 V / a J J E U z U P Z A N U o u l F y T Y H J f T j U y A 7 f a b 9 J J Q Q F 2 + g x z 8 x L 3 O U k o 8 B A w t p W L S a m 3 C O s o 1 E W D H J Z o E B a N y i 4 u K p I z o D i w u g K E b c F z 4 m W g g A F T S R M D 7 d + z Y I Z 2 u 9 + 8 / k J m K 4 L x A V 0 B r a 6 v Y j b h 1 e i G 4 I J u L r g S x s W Y 1 V d / r 1 4 M O 6 h q z x S S S k c t 2 V C q B L M h N 0 s n I Y 8 P e W T q Z I s x / 9 e e X 5 P v T C d w a 8 V R P r x Q I Y k D g h F S c F a u l K v 0 Q y M 2 I J B 2 M Z 4 Z 1 j S c t k V 6 / a Z P r Q 0 L D z 8 1 V 8 2 H A n V 9 e V p a U T E B 9 / S 4 h E w A J h L k J v X O F 4 n B p a G j g 4 / X S 2 a s n Z 5 F F z x I A 5 D V j e M p G 3 V E y G d I J u b E d L 6 U 0 2 f R x b K u Y v m g y S F d S k s f f P r / u 1 3 p K O 5 U P 6 J 5 1 k N u d Q b u L x r l i U u t z + Z D w + t X t t i 5 0 Z g U i D v T 0 y v A I o t E j k s P u S j z T U K J O 4 E X B w q U o O 3 6 F D 5 S b m 9 W K 7 T V F i e 8 r 4 v 0 g m Z C w X O e T H o c i C I h k U u k U q Z S U E v I w W W I k 0 s Q x E p c h v a D u Q W q B U O c v n j J + M b 2 Q l o Q S 8 F O 6 L A + V q S r K D D w r 1 j J q M n v F m 4 Z G C d c 2 7 C K r q o q x U m 1 t b e I 6 R 0 P H A + T U 0 Z X N V 2 H G 3 o N H Z Y g 6 Z j P C / H m d H o c 4 T n b u j I + + s A K 2 m S b U l b c u v v 8 x I m n y S N R D l F w G e a J l P h 5 O R C x F p A i k 8 d z C r v q 1 D D s 0 p H R M g z 6 b e J y 0 5 w i V G g X e s I a x Y 1 u p d K Z q j x 7 6 c D C r E P q 0 0 G A R k 9 f a 0 s r v j F 3 H 0 y d P 4 6 T J S j D l n S E n + n c Y B y q C 0 v H c M e o k b 1 + z E D g Z Q K K x c Y / k 3 7 6 Z T y Z N m P l J E 4 f L W i I Z 0 i n O 8 8 d k i o S D 9 N n P z 8 6 r 7 3 R J X E P 8 m o Y p E L G x q s O V i o r g J F L K 8 p R f q 3 j 6 9 J k k 8 8 p + u B Y s L o A J Y T D F W T 3 b S L B p N A o M Z 8 R q I M P t p N z M m I 2 E O f a C o T n a 2 x D v v T M D J A I 5 4 P i 4 2 h J T 8 y S P k k a V V T K I E t 0 f 2 x a 1 T m 8 L q T S Z U I 8 h o w M 7 c b 2 v 9 Z S + K h 9 j M o y K R U U Y l W O S U m v F O Z F v i T z H W S H C A g m O A g 0 0 I k z A m U w K V V b G h y c t F 1 j u J s D 3 T Q N O E k y 0 M j U 5 T i + 6 E i + g o M m E / N j x I z T r x 6 j p x G T S Z d S J b O u 6 0 c e i E k l J J 0 U m N b g Q o 3 b 3 H 1 j e y O O 1 g r Q m l D d s N 5 5 8 q I x Y Z W m s B U p N + u J v s Z V g Z s A B g R A j K + C q 5 h Z s b K 0 M m J c w H P A K s b 6 4 9 Z 6 6 m 7 + j g b Z H 5 J z z 0 1 T P I 7 H b z J 4 8 k E i n Y H i O H g 6 U M e m V h I q S h P M 4 M p l y t V 8 v + 6 n q R 3 L Z j i V 1 P E T 7 D 6 Z f 3 5 M Z a W t D 6 d R U h e m Z z Z W j n R T c A P G G N Y a D b L M k A + y X W R k h H A t u h X c P k 3 F m Z C z u b l 8 M + F 4 s A I d B g J D g J d v 2 U N X + C 7 R 1 1 1 H 6 0 x P F E s W O y W J G h k f o q 6 + + F S I r Y q h 0 t V X Z T d A E c I / V w y w R m S w J 9 W I p i 3 R i N U 9 J J t 7 H U i o n y x 2 t 1 3 R N a W t D 6 T R t y 1 I V q y s G F S W V p p 6 q a w 2 3 O u a 7 z N H Q M d Q e M C / 9 g j 4 h O C g + / / y n 5 G Z C r f R q v v / u q q x 8 j 0 l m o F o G I 3 Y 6 W h W g T + t 9 c j c B d P R i W P y f / M k F + X 0 4 S k C U u x 2 G E 0 I T Q 1 I S M o k X j 1 O c R D L U u 2 h u J K h 7 h j P i l 7 / + j M 9 g f h 2 n U 0 p r l U 9 j f 2 W Q K w S V E i M V y v I U F V K t H W I x z 6 l r X N k w c J 1 / + e V X d O X y V Q k Z u n z 5 O 5 n e G R H m w M M H j 2 X h N j R + X E G i p W G W C t w H h 8 N J v b 2 9 N D U 1 K d t Y 3 b 0 o K y J j e L C t E 8 g A w A G B s K O W t 6 0 0 5 T N i 9 A z b C S k 5 m Y w y p 6 g X T 4 4 h g U S 6 r m K 2 U 3 l 5 c u 9 i O m F d E C q Y k c 2 V q 8 m k c i l z J c Z I t X b Q M q z 6 f t A h m 5 u X R z / 9 7 J L M W X H p 0 g V Z t E w 7 J n A N m F k J w C U s t q b T Q o C K 5 8 t r p D 1 7 d l N v T 7 8 M R t Q E k i 9 n a D I h g Q i I K 0 Q Q b F u g z r i X i h R W K Z W w L H W A X J E q m W R C H g k F 6 C e f n 5 V z S H e k 3 X i o Z K m h L i O e T E Y F o n K j D W c N A W s n f f 1 w i B r 2 7 j b 2 x A P j j D K z M u X y g E R x d a m i u C C L v v n m M v 3 k p 5 e i Y 7 D 0 v d F J E 0 p I x S n E E i c 3 w 8 7 3 M 7 Y / l j S R Q B z e B o G k b E r i h Y 1 / 0 E V t J y F V g D 7 / 0 / M J 6 z Q d E 0 v 7 d f J n 5 w Y y p y r J S i x s r 0 V J 5 S 6 q p b d T 2 2 h 4 e I S + / v q y e N 5 u 3 L g l w / A n P B M q 6 n s V M T Q 2 T f u P n Z k X q j S P S C Y b C P d t 2 o / j I I d F S m n S I B n H 1 T b f e 2 M 7 K p 2 g 5 o l E Q r 1 g 3 j 1 F J p o L s 7 p X a q 7 J 9 P 6 7 1 9 q 9 t l r Z C v H 8 9 Q S T y 0 l 2 p 0 t s B j v K / D S G q 1 d y G w v l V Y o 4 W A 2 g w V Z m D l F l w Z y E F + n + H c z 7 t 5 o A a T o G p q j f Q 3 R 6 b 5 5 s W 5 O Q C G X k 4 t R R 5 / J 9 q 1 v t M 7 x 7 8 j 4 m i y q D O E Z u J p M Q S U k m R R 6 Q y Z j A U s Y 9 q a j y 3 / 7 j n x l n u D 6 w L m w o M / K y o Z 6 o y t O q B b b V P q O y 0 R i 4 4 X A z U x / 6 g A C 5 3 / Y F 6 e a N 2 y y d b t K j R 0 9 k 9 c C H D x 7 K t M j D I y P G O 5 c P T Z j i b J u M y R L b J k o M l c x S S e 0 D I f R + d c 9 i k o j v p 9 6 n 9 0 s y 7 i + X 9 X 0 X y Y R t q Q 9 V J y A U p F N N j Z r U Z T 3 B d q 9 t f U k o 4 O m L U b 4 y S C Q X J 6 e S V F p K c U I j V r l S f G V I B D 6 I j o Q P B O u q F R p f / O G P 9 P n P f s r n q 5 5 9 6 J f C / B V o y J h U B u p b o i V N N T S Z p J I 5 7 x 0 c o 5 G J A F V v 3 0 J t w w 5 q q v T z d y l 1 2 J y r x G W W S t d a X b x f 7 T N L J V 1 W B A 2 T j Y k W F B J q I n H O S U k o P c Q d k o l V v U i Q f v O 7 v 5 B z X E + w 3 W / r W X e E A h 4 9 G 2 Z O a Z W P S c U N T x M K j R M 2 l + Q Y o M g 8 E l J B H c S H P x C x E g 0 + x A S a n v F x m b Q F w J T H O 3 f W S o P 2 + f 0 0 P j Y e F / N n h i Y T M D 0 9 Q 1 1 d 3 e I 2 D 5 O b d t d t p 5 L S E n I a z g k h E N 4 v J N H k U i R 6 3 R e m 9 w O z l J X D q q I c V 0 S S H J J I 8 j A d r p y h + 5 2 O O D I p N U 8 T S p E p z P l / / W 9 / J b + 7 3 r D u V D 6 N f X u L p P d d 9 X U o V U M q 2 E i 6 w t E w 1 N z b R m O S R q i e 1 N I Y j Q b 5 Y 6 B 3 Y n 5 1 F B Y W y L q 9 G O a B V F l Z I Z 2 v G F S I p X I w n 6 A Z O N t 4 K R O R q c r + 1 + + v U V 1 d r c y g d P 7 M c S r i 7 0 S 0 + 7 / 8 y + 9 l F f z J W f 4 M V D N + v 9 m h M D o 6 R m V u D 2 V m 5 6 r j k E Z y / + L z p o o Z 8 g X 0 P u M + C 5 F U r q Q T b 3 O + t y G 9 4 / U W w r o l V G Y G 1 n T l C j a e j t D Z J Z f K R s N Q j U G R C o n f K 0 S K J 5 P 8 G W X V X H 8 4 b C t I 3 M + E P i O E J S F h 8 K E + P 0 h Y L G 5 g J k 9 M g s Q S o j C O N p T L w 0 L Z R W F R E w v y C + j C h f N 0 9 N g R e t c / o 4 4 x A W Z Y m m E K Z 8 x H g f n W w 8 4 8 g z g q K V K p e 4 f y 3 r J Z / t 0 Q k z K s p J G J T N g W M s n 9 D / A D w E k f n z 1 m X N n 6 w 7 r p h 0 q U j h 6 u k I o G q b T a E U 3 S G H T S B F M k Q x J i C Z n 4 u 9 C A j b K Z b K t N M O s M s 1 a o U 1 G / i R x 9 S V g x B L M T Y R v k U d e C X C d 1 L X n 5 + e r a D F V N S M H l O 3 f u 8 b E 8 e n z z K 1 Y J O 6 m 3 r 0 + m G D h 8 u E n m W s d 3 v B + x y X u V 5 F I P H 3 W / w j K T k 9 s e o n 5 P h F o G s T i 4 I p M Q C U m T i X M b n 8 f f / c O v E 9 b V e k m 2 B + 9 6 V 7 d V r E H c u d / F j w 5 l S 8 G G M t t T U V u K k 7 a p o v Y U c t k H p w X u F v b j G + U l I a J H d E H f 3 X k H E i P Z J C 6 a S A D K e h u h S g h h w l T Q g 0 N D d O b M x z I C G F M 6 6 9 U 1 s K z p 3 o Y 9 8 h m Q U N t K 2 L 5 2 7 S Y F i g 7 R R 3 U u c j q x C L W W c i A o S K T i + E I h 7 F M P G y X 5 w q z m g c j 8 H i b R g 0 6 7 k F Q I J S p 2 k P J c f h q e 5 G 0 m E x 5 s v / v v f y P n v J 6 x I Q i F t n f 7 f q c i j 9 l R I Z 4 / k I l z o 3 8 q S i p 0 e V v I x S 9 M B + Q o x s r G y y L A b U 7 0 P t 6 v a 4 A P X 6 x f m F D m X C X Z 4 g Y f o v f v O 6 i 2 t k b U Q E S V I w i 2 u f m l D A n B m k 0 v X j T L i o z 4 H A i D V e d B v G f v x 6 n Y N S 3 2 m S Y U i C T E Y Q l 1 u 1 0 v O A d C R a g g M 0 g 7 i / w U A o E 4 z f r D 9 L y H F W x D 4 o u t x F J J t I I g R g M E m U x / q + 7 h O s e G I B Q Q C I b p / s M u J o o h q U A m Q 2 K B R E p a c W 4 Q a z 6 p Y g k t X 3 J s 4 8 s l x z Y 2 5 K g q m J D 4 J h t 7 j a x p W 4 B K c p Q d p Y m i y k w c V Y h t G 2 X M w Y f 3 I d o C S 9 j k s 1 2 k j 6 s U k e n H H j 9 6 Q g 0 N e 0 W N w z 4 s d / r t 1 9 / S q d M n q H d g l M r K y m m w v 4 t 2 1 9 c b 5 F G p c 9 R G 3 R 6 l 8 o F o T l u I 9 m / x R c k E I j / q Y u k k k k m p e 6 L y G a o e 4 v T + / h / + n L K y V j 7 8 J B 1 g e / B + Y x A K g N p y 5 1 5 7 j F R R i W W S V J J r Y o E 4 i l C 8 I X k 8 q f j V K K t / l L E Z L T H U s a R Q T J G 5 H c p y 1 e B I x Z U Y e X S u d o M k U p A G 3 d r S J s P l 1 X E c M y V 4 L q P b I M g c k 2 u U O t o 7 Z a E 0 B 0 s w v O f a t e t 0 4 O B + c r v c M t W Y d p v 3 e I g 6 R v U g T i W d D m + b l d / V 6 t 2 j b o N M B q F i D g g l n X 7 7 T 3 8 l c w d u F D C h + l S N b R B g B Y t b d 9 7 F k Q o d v z Z D / V N E M o h l I V W U T L o s Z D H 2 C V B W u b y a y o s B q 6 h r E g E g g c r l 1 b T N Z V W g I D f i v t 4 + 2 r 5 9 u 5 A J + 5 T b 3 0 h R Q i k n B G a S z c z O o 6 H Z b M p j g V G a H Z L 5 D Y d Y u h U V F s p w D R B p 0 j d H L / q M e S M 4 m Z 0 Z T Z W K U J B M Q 5 N z L M G Y 2 C Y y K Y e E k k y / / a e / 3 l B k A m w P N x i h A L 8 / R L f v t h k d v 1 p K g W C G 6 i d E Q l m T K p 5 Q 2 M c v Q i g h j V F W / 3 i J k U j v X x B c A x j k x 2 1 f b e D V K C f K + V X e I M 4 I j 4 d V v T L e x F 4 c N y W D U F h Z v q y 8 D B + U c 4 F b H A t U V 1 R U U F Z 2 l m x j a R 4 Q 5 k 6 7 S 5 F I E t Q 8 R S S U S 7 K C V J n H t h M / l E J M o C d a O h l O C G 0 7 w W b 6 L / / w F 5 S d s / z F u 9 M V t o f t G 4 9 Q g G 8 2 w J K K S R U l F H J I J o v n L 4 5 Q Z m I Z p B K y q H 0 q V 9 v G v y q b s k Q o z o r Q w c r Y B C n M A b x K + 8 d G N N f 7 j T K 8 e f D y w T b C 7 2 J f j F A R 8 j J R X r d 0 U h M m P u F j I n H 4 G H I M b 4 e 7 H O e N b c x 6 9 K C T 1 T 3 + n C I U V L w Y m W A 7 N Z Q Z t h O T S M g k N h P 6 m g w V j 3 P + M P 3 t b 3 5 N u X l q c b q N B i Z U v 1 T T R s X l K 8 / 5 L p h J p X K z h E o m q X g H 8 8 Q g E f a B N Z K r b Q 1 F t u Q o c n p o Z 4 m a 3 P H N m x b y e q e E R P z L Q n J 8 G v b O r v p d l J m Z I a v U g x g g 1 P T M D L 1 4 3 i z R E I i g 6 O / v p w M H 9 t P M r I 9 q q q t k / j 9 t P w m Z h D C s 0 r 1 o p g a 2 o 0 C W + x 2 u m F e P k 1 k q I T F 1 q L G c y Q R p x N L p a Y 8 m k + p r 0 m R C a O Q / / c + / X / R 6 1 z M 2 P K G A b 7 9 9 y n f C k E w i p S y k 0 r l I q B i p + M X Y 1 q Q x 9 u F L d S 7 7 p M C Z U U i A M 3 H r B y s J J G I F r 5 z x H i m A G C D P n T t 3 J b 4 P t o / 6 f b u E I y E 8 C d K n q q o q j k C x n D / P R M S a w J X b K l k q u W Q Q o U g l E I 8 l U F R C G c T K c g R p R 5 F P b K e n L J l U a J G h 4 h n q n o s J / 7 v / 8 X d y v h s Z t k e b h B J 8 / f U j m t O k i k o q k A n b B p F A L M n R g r F P E U v + V K t W p J E i v 6 C A V 8 l U e S G c q P Z T h l O o Y 3 A p R q w Y q f i f N z D / x I W L 5 7 E h 2 3 J c c h V q h A k z d 9 b V U n 5 e v p D C T C 4 E y M J 9 j u 2 J G b V 6 R h y J m G A x Q o W p p t B P U 7 M R i Y Z Q 3 j 0 t l T C Y M y h E / s 0 / r r / I 8 e V g k 1 A m t L b 2 U G v b A H O F y T T P n u L c I F W 8 6 h c r g z S S y z 9 e F I n k 1 S g v h o 9 r / f x + R R A g S i K d g z T 8 d / P G L Z n 2 S 5 F o f g J Z M K 4 K T o e K r V t l H 5 a 8 w U x G W D J U O x 5 6 P U Q 9 H p Y 6 B q F k v 9 h O K s F G k p y l k k g m k 8 2 E 8 z x w s J H O n D + p T n Y T T K i O A a P q N g G g 4 X 3 5 x T 2 + M z E V 0 C y l N L m s Z N L b / I J / h t o n w D 5 V Y u h 9 K o s i W g t z 9 B G T S m 2 D H L J T z g v b i H j o 7 e 2 T s K L d e w x n A y Q P H 8 d b I K G 0 d w / B r c U l x T J 3 O o g y 7 v F Q r r G S v S J Q h B 5 2 o d 8 J 5 F H b u s 8 J k k j H N k b J J I R S U w y g v w o q X v Q a N y H Y J F Q S 3 L z + j M Z Z H 7 K Z i S W E w r Y m l y K R N C q Q x l z G l 0 i O b f y r X C F a S I A 5 i Z b Y X a p W a D Q T C n + Y a w K O B i G J H J + f / D 6 / h B + V l p U I u b S q B z c 7 p J T d m U n P + 7 S a p y R T l E w g k O Q W M o l D g q W S b U 4 k 3 N / 8 5 l f q x D Y R h 0 1 C L Y J / / 9 c b b F u B P E 4 l m Z h M M W m F b Q u R j H I 8 k R S B 5 j 3 N Z d P Y x 0 Q w 4 1 S N X w h j / M t x / I F Q s F l w D k I g / B k S C Q k T Y x 4 8 e E D I r o N g k W M g I i R W b f 1 e e t k / n 0 w q V 4 R S 0 k j n I B R L J T 7 m d r n E i 7 e J 5 L A 9 3 i T U o u j q G q B H D 9 8 S i y k l r U A a C 7 m E R J y D P K q s i K Q I h X + 9 b Q D H E 4 E b P 3 B 4 e 4 B c d t B F 7 Z M S / 6 M j d 5 b t o J L i Y v n 9 t t Y 2 m e l 1 d G R U B i J i c e p o t I R B J k i X / o F B l i z 5 9 G o o x 5 B Y J i K B P C g L e S C h Y l I J 7 w M 5 d 9 X v p J 9 8 f k 7 O b R P J Y X v c O b h J q C X i 6 z / e J u + 0 j + + a t q k M 9 S 9 K K k 0 s n a w 2 l c o V O F f / U U Q r w i D V 8 W p l S 8 m W Q R K s v 5 v P x M C k 9 F D 7 t K S y k g g E w V p T m K w S + 0 a n j b g 8 J p M i k c q V p N L S C M T S U i k k v 1 F e X k Z / 9 t e / k P P Z x O L Y J N Q y 8 H / / + V t u e F z Q h A K R z K Q S N Z A T x m + C R f g X N h l l v A C y L w E U g y T L n H x O O V k Z V F R c x L 8 Z o b H R M a q t 3 a H I Y 6 Q o m T i h 8 7 W / r 5 / t p 1 I a G R 6 l s v J S e t b L U g t k E c l k E A i 5 E M h I / D k 1 K W W Y H A 6 7 T A f 9 m 9 / 9 J U 5 k E 0 s G 0 f 8 H k s 0 H c K y 5 x 7 w A A A A A S U V O R K 5 C Y I I =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 N a m e = " S c h i c h t   1 "   G u i d = " d 2 b b b 3 a 4 - e 5 5 c - 4 b 9 5 - b c e 3 - 2 7 9 1 9 1 5 c f 9 0 f "   R e v = " 1 "   R e v G u i d = " e 1 7 7 6 1 e 5 - a 2 5 b - 4 5 d 4 - 8 b 6 2 - 5 0 0 c c a b 0 f 1 6 3 "   V i s i b l e = " t r u e "   I n s t O n l y = " t r u e " & g t ; & l t ; G e o V i s 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2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T o u r   1 "   I d = " { C B 1 7 2 8 A 5 - 7 6 F B - 4 8 7 0 - 8 8 B 9 - E F 2 9 4 4 C B 8 6 2 9 } "   T o u r I d = " 6 7 3 5 f 5 0 e - 3 b 9 7 - 4 e 4 1 - b 2 9 1 - e e f 9 1 7 1 a 2 f 9 2 "   X m l V e r = " 6 "   M i n X m l V e r = " 3 " > < D e s c r i p t i o n > H i e r   s t e h t   e i n e   B e s c h r e i b u n g   f � r   d i e   T o u r . < / D e s c r i p t i o n > < I m a g e > i V B O R w 0 K G g o A A A A N S U h E U g A A A N Q A A A B 1 C A Y A A A A 2 n s 9 T A A A A A X N S R 0 I A r s 4 c 6 Q A A A A R n Q U 1 B A A C x j w v 8 Y Q U A A A A J c E h Z c w A A A m I A A A J i A W y J d J c A A D 3 7 S U R B V H h e 7 X 3 3 X x x J l u c r i / d G A g k Q Q k g C O e S l 7 p Z p S T v T P b M 3 N 3 c z 6 8 3 N 7 O 3 s f e 7 u 7 7 r 7 4 X b v Z n c / 0 z 1 t p G 5 5 7 4 U c I O G 9 K 6 C A 8 t z 7 v s i o y k q q g A K 6 R Q F f i I r I z D K Z G f H N Z + J F h O 0 P N x / M 0 S a W B b v d T p + d P k S R Y I B a h 2 3 U N m S n S C R C c 3 N z 1 L A l S F M + G 2 0 v D N H t d r f x C Q U c j 8 J c N s F u I z p T 5 6 d I O E A Z 7 t j n 8 V 2 e k T 7 6 2 f F S 2 Z 6 d n S U / 5 V B B Z o S + a 8 2 I f t 3 5 + g C 5 H O q 3 I u G w n O t s 2 E n Z L t 4 m G z n t 6 n 2 h O S e N + 5 x U V U T k c L n p 8 v 1 m 8 g e D 6 u A m U s Y m o Z a J n 3 / c R C 9 7 5 q h j l K I k 0 u n S b p / k H e M O a h t 2 S T k h E u y v z A 9 T f X m I w k E f + X w + K i g s N I 4 w e Q I 2 I d T h 7 Q E q y e H f 4 n 3 M O 3 r + / D k d P H h Q t v l U 6 E G X m 0 7 t C O A j U e A c H Q 5 m m A G b D Z 9 U + a y P K Z m d J a T D e 5 x M 4 K / u P K c w v m w T K W G T U C n A Z r P T 5 6 c P 0 r O u C P V 6 b N J I N Z k A M 3 G s J I L E i V j v 9 B w + q 4 q X 9 v h V w U B P T y 9 t 3 7 7 N 2 C K 6 / D Z D c u v 7 p n x 2 y n D O U c u b Z t p / Y B 9 N z N j J 7 S R y k o / c b v U Z D Z y T m U h m Y H t i 1 k H F u U r y z v F 1 Z e b k b B I r R T C h H l q r e R M J U F h 5 l K p y A / S i b y E i Q U I Z x U T g g z i M t j x n Y t e 5 X V D P 4 j / Y 0 9 P D h N o u 5 Z F p O z 3 t c U m 5 I j 9 C + y r i V b L O v l G y Z 5 X T 2 y E H n d k x R R k Z i k h y j s g N l Q + / G w q G K M g q X W 5 e H s 3 M T F N W F i S T Q 6 4 B 7 w F A r k m / g 1 y s F x Z m s 9 R y u u i P d 5 8 v f G 2 b E N j + c G u T U A u h a P t R 8 n r n u B G G k h I p R q j 5 s B 5 z M 3 E C I W P D w E l W z / I y 1 P v A s + 7 O T q q s q i E n a 2 i B k I 0 6 x h x C h i 7 O N f L Z Z q o p D t M o k 8 0 x 2 U p 7 d t c a R x S R w k w i l 0 u R U G O O J S L I M z s z I 6 q d 2 y A e E A r b W M 2 c p U w m G A B S + X y z T L h s I R q k X Y j s d P n B C z m + i c S A J i J 6 + G a a n z K K j 5 L H E y K / P y A N F A k E s S Y r z M f 2 b w 1 S f V m I q o v C c i z A D d e K J z 1 u 6 v E 4 R K 3 7 r i W D t m 6 v E Y f C / Q 6 3 q H P d b I u Z y Z T j n q P Z o J 2 8 Q 2 3 U u D V E I 5 M x i Y X v B w G m v Z O 8 N U e j n m k K G r 8 J l R X n l J G Z S X a T P R U K 8 T X 6 p m g 6 k h 2 9 H u S Z m V m S g 1 g e z x j Z w g H 6 7 O R B y s 5 w J 7 x f m 4 n T F 5 s S a h 5 y t x y i G b Y n Q q F g V C L p B O g 8 H j h u F E 3 4 q D Z A 2 S 6 W G H z s + 9 Z M f N g 4 E g 9 4 3 c 7 X + + m K Y S t d N N l K V 5 h k O B 5 k T u r 3 z Q Z t l O V S 3 z U 5 O U n 5 + f l S 9 v v 9 U Z V P w z M + J u d c V F x i 7 F H X A E m V l Z 1 N N q i D v G / U 4 6 W S w l x 5 c E C C Q U o F A w G R Z C g j A R l M q N C c n a 4 8 f C n b m 4 i B q y e O X x s + Z Z S w i j f N j T e o p J J Z z d M p H n q / s W m B 3 a Y O P O 6 J b + R W a J L s r w x G y Q S J h Y T v B p m A Q E g V N J k g X V p b 2 8 Q u 6 u z o p H f v 3 t P U x A R N e M b l O O B i d a 2 w q F i 8 h h p C E C M f m 7 b J N W R m 5 1 G A C a m 9 g X 6 / T y Q Z j u E e g L g o Q 2 L b I i G W V v v x D Z v J l G x f 3 H 6 U p C l s L D j d O d x K 9 0 j D t K p 2 g M 7 N S L Q P t 7 X Q e 4 8 O N x 2 g 7 9 q y y c E 7 P q 3 3 U b f H S W 8 H Y 2 q W F S W Z 0 5 S f k 0 k T P n j b 7 C y J u O G y / Q T s q w i J 6 v f w 3 S w d L P N Q X l 4 u j Y 6 O U X V 1 F f X 2 9 N I 2 k z c Q D d 8 7 5 a X 8 g n w h U C a r d / o 6 z F I G w H X 6 Z m c p O y e H f A E m n k M Z d y 6 X 6 v e a n Z 0 h p 9 M p d l d X V z d t 3 b q V c n K y q b O z i 7 Z u K R f H R i Q S p u a u E R r 2 Q M X c h O 3 L T U J R + f Y D N D w B F S + 5 4 8 G M R P u A 7 Y V h 2 l u u 7 J n L L Z l C p h 0 l I a o t V g 1 V u 7 7 N K H Z 7 a e d W N x V m p V 4 N Z l X P j H A 4 w l K r l f b u 3 S P X B G k r x I p A u v g h U y m L 7 S O o e u r 9 Y Z q e 9 l L A U U S l O c p F 7 g c Z D Q c F 8 P r 1 G 2 p o 2 B s l J H L Y a s P D I 7 R t W y X Z n G 7 6 5 t 5 z O b a R o e 7 o B k Z 2 2 R E a 8 t i j k m k h M m E 7 G Z m K s y N R M t 1 4 r 4 g D y a T J B J j 7 k K D W Y X u m 5 3 5 C M u F 3 Q J h k E E c C k y M R H H Y b Z b L d M 9 A / Q A G 2 g Z x O d C 4 T k 2 Z a b C a H w y l k m p q a E o c D 7 K T 8 / A I q z g r J 7 + I z c F z o M r y D p a X K / t L X j x z 3 C v v l 3 g V 8 9 N P j j X J s I 4 M l 1 O P E L W Q D I K P k M D e o E I X C 3 J D 4 6 Y 1 G o h o M c v U e D d 2 Q l g r 0 K x V m R e g Q 2 0 R A i B / 8 V x E a h E b o e 8 j f x 5 K Q C X z s + D E 5 n g j P n j 6 j Q 0 2 H j K 3 5 u P z t F b p 4 6 V M u s Z o 4 4 W H 7 J 0 i 9 v b 0 0 y U Q 5 d + 6 s v G d m Z k Z U w H J W 0 b T 0 h R o H 4 D M g U i D g J 7 s z S 8 4 Z B I I 6 W V 5 e T l 7 v l J B w o H + Q i Z h F O 3 b U i F S C t M N v Q l h p N R I J n y 0 s L K Q / 3 t u 4 z g r b l 3 c 2 J q H c R Y f 5 C c 9 k 4 i e 9 J l K M U D G k S i Q A b m 3 0 J 8 H J E A V / D y R S H z f 4 P F b T c n N z q a O j k 2 p r d x h v U I B N N D A w Q I e P H p H P P H 7 8 l B t 3 K d t L 1 c Y 7 Y h g f H 5 f v s f Y 3 J c L T J 0 / 5 4 e G n P X t 3 R z 8 D Q h U U q N A m 9 H e x n B b V b v f u + n m e Q g E I J F Z i D G Z C I Y G s g 4 O D 1 N y / M W 0 q 2 x 8 3 I K G c h S D T 0 l S 8 l S D D x b a K c 4 7 2 b Q 1 G v X I A S N z S 0 s p G / h Y q K i q S h q i B Y 1 N e L x W Z Y v i A t 2 9 b a M I z I Z 8 B C g r z K S c n N y p t k m E 6 Y B O C W 4 F G v 2 X L F p q c G K f 8 g i K W y c I X e v + + n X b u j H U S J 4 L 5 f A G 9 j R w S D F 5 C d I T f f N U h + z c S N h y h f m g y u e x z 9 E m d X x w S i w G / P z I 8 z O q Y I o l G d 1 c X G / u j 1 N C 4 h / w s V Q J s o 0 A F w / v H W C p 1 v O 8 Q + + r C R a h 7 C r C F Y D O V 8 f t y c n K M v c m B 6 5 9 h d Q 7 S U m N g c E T 6 n L I z X Y Z a t w C Y P O Z L T E Q q / M b 1 5 n b Z v 1 G w o f q h X K L m L U a m + W p f K g h G b K o D d w l 4 9 f I V d X X 1 0 N W r 1 + k l l 0 d H R 0 T l g t v 6 y N H D E v Y z P T 0 j 9 l 0 X k w z n V V p S w n b X U S E Y 7 C O 4 x o e G h i Q 0 a J J t p e z s b H r 0 8 L H x C z G 0 D j u j I U / 4 n t H R 0 a g X b 8 h r l 7 i + 4 q J 8 K i 7 M o 5 l w J n / n s B w D o A 7 O A 3 9 H 3 F 0 z 7 h n y u x 0 u m v J F q M v j p k 8 P 7 e K 9 8 + t i v S b b H + 8 + W X 7 r S S O 4 i 5 q U A 4 J V q m R k M p d X i l M 1 f s o 1 4 v O s g P E + z A 0 W / U f w 1 M F L d o 1 J d e T I Y e p n K Q O 1 r r C o g O 2 p P m p t f U c / + / l n x i c V x s f G K J v t I P M 4 K Q 1 0 7 p a U l t C t m 3 f o 7 M W f U C a r n I b w E N z r d M s 4 L X Q k U y R E d p u d 7 A 4 7 e V j y h Y I B K i 2 P S c v + g W F 6 O V l l b J E M S z H j 2 5 d h + p P 9 D j Q j Y w 8 3 K e P H + F f J y d / b x 9 e z r b K C r m 0 Q S b U h C J V Z 0 s R P 4 B + P T E B e R o R O 1 s S P S d L A b 9 2 6 e U u i y U G u + t 3 1 0 Y Y I f H f 1 D h 0 9 3 M g q 2 S x V V G 6 l t 6 9 f 0 / S M j 5 w u F 3 + m U u y m R P 1 P A F T B x 4 + e 0 L n z 5 y R k S e P C b j + 9 H 3 V S x 6 i D f 9 N H W w t Z C l Y p D + Q U f 0 a r f p B 6 k H I A + t I 0 q o t C l M u 2 W G V B m E Z G R s j H D 4 K h c B W 1 M O H / 8 m J t 3 P l b 1 T 8 k a A U 3 X n X K / v W M d R 8 c m 7 u l i W Z n w 4 p M 3 J B / D D I B J 5 K Q C U B D K 2 d J s K N 2 B + 3 e s z u u M U r n b + U 5 e j h Q T h k Z L r p 5 8 z Z l Z e d I f 0 9 n Z y c V F x f L + + E a T w Q Q 7 f R H p 2 l g J N 7 L h q D b X a V K 5 0 P j L s 9 T I U x D g w N s x w 1 S d 6 d y I G g y W Y H I d p A J K C 0 t p c K C A j p S H a G y 6 g a a m J g Q K Q u i A e Z 7 j N + C 6 x 2 1 8 U l D 9 b z 6 W W 9 p X d t Q D n c e e b 0 R I Z N U s q m i N V Z C J o Q D J Q K G m e M M F g J c 4 0 M T I S H Q l D / 2 7 m m v h 4 l v E / v E 7 4 K D I Z u q a 6 o l o R 8 I A b t 5 e X m U x y r f 1 1 9 9 G 5 W 4 a L i v X 7 2 m 1 p Z W 3 h e m l 2 N l 6 g t N 0 J E a W V k 5 9 G b Q J d v v Z 6 u p b M t W 2 l J R K c d A j L 7 e H u k v O 1 r S K / u A G + 8 y 4 g Z I a l f 9 x X o f F T C 5 I D V L 2 L 7 D + e j 7 / f T J M 2 p v 7 6 A e b y 7 1 4 j t 5 3 5 b C X P 5 U f D 2 t p 2 T 7 6 t 7 T 5 b e o N Q 5 b 7 i F R q d D Y U J k 6 a Z j L q Q B i / Q I 3 p E T w z g a p 7 c 3 L a I e s l j 7 X 2 t w y j O I 0 h q b z r j u m e S b k + 1 g l 0 3 j U 7 a L x G R X E k u 0 K U 7 j 3 O n 3 y y W m 6 c e M W 2 1 l N l M N k w r f e u 3 u P j h w 9 I t e H h q y l y / 1 O F 0 3 6 l h 4 E g 8 9 X F M x R u a N X O n F r a 2 t Y 2 o y K B I W 3 z q z 6 A W d q J u T 3 4 G J H P C H U T L j / 5 f f 5 x A L + A L n Z v u v u 7 h a y 4 R j e g z L c 6 f f a + o x v W n 9 Y t 6 F H z o J D 8 r T V T 3 A r m X j D K K S O 8 M y I e N b Q s W p F b p a L D h 4 6 K H Y J V J 3 b t 2 7 T 1 9 8 / i I 5 J u t P h j p K J b X Y J Q c K T / + 1 Q r D / p 8 P b Y + K b Z o I O m i 8 / Q / / n 3 a 9 R 0 6 A D d v f e A Q n B i X L s h K i w k B V z c Z l U t F T I B I M 2 Q 1 0 n N E z X U d P i Q z G N R t 6 t O o i 5 e v G g W Z 4 T f N 2 O 8 m x 8 O t 5 / I S F 9 I Q n g D t 2 3 b J t u P H j 0 W j y R c 7 x 5 + e 0 e f h 5 4 / b 6 Y H 9 x 9 I v x t g 5 6 f H 8 Z 3 x 3 Q T r C b a v 7 z 1 b f s t a o 8 g q 4 w Y 9 Z X F C g F D G c W C 5 0 g k 4 v 8 t H D h u i G J 7 Q U U Q 0 L A B f y E a 3 3 r s T 8 h c z F X k D b L A b U z Y g H l A 7 C g D s / 7 4 1 5 l j w z U z S z w 6 5 W D L d p 1 O n T 7 J 6 6 O U a t L M U 9 r P t l C f 9 U B h E m J 3 N j X u 4 w v i U w n G 2 6 Q o y Y y f x v M 9 F Q 1 N W 4 s 3 R o a I e t o k m a X R s j M b G x i n D z b b X r p 2 0 v W q 7 R M 9 r n K v z z x u 2 D 0 D a y f A P l s x 4 h D x 7 9 o w K C 4 u o r K x U I j Q A P O i g O T z r n v 9 A S n e s S 0 J F s v d H p R M S Y C b Q S s g E 4 I l t n v M h E T A C 9 8 3 Q w i F B h U y o M N t L Z h s K 2 F 0 W j I 7 w B R A D i F h A A O F L X 3 z 1 H Y U D M 3 T y 5 H G J d g B a h p 1 U l e + j r A w n P e 9 3 y 9 B 4 E D / + m 5 e O h w 8 f 0 r F j x + j 6 9 Z t 0 9 u w n x t 6 Y 5 w / S 9 V y d T 3 m 1 L M D 9 h Q O l t r Z W p B Y e O t j X 3 M y q M E t v k A 7 1 8 7 h D O T H W E 2 x f 3 1 9 f h L L n H S S f b / X t J g 2 Q C a o e b C M E g i Z C N 5 P p 7 S J k A v B d i E z X 4 5 7 M g O k l d h q f 7 p X W T H k v G v N F z p 8 + f k q H 2 Z Y C b v L n M R o Y K m V u R o R O V A c S N v L l A H P + P X j w S B w U h U W F r F p m U b f t g H F U A e e V D O P j H p F W 3 V 3 d 0 q 8 G 1 R B 2 V V V V t Q Q k g 1 T P e 9 a X l F p X N l Q 2 q 3 q B Q E z N W 2 0 y N W 1 T r n A 0 t G R k A s x k K s 2 J S R o z d K N P R C Y A p 3 q F C W T 4 N K K S 4 b u 3 7 i i Z A E g K b Z 9 5 / X b 6 b p E o j W R 3 I C 6 Q l 4 H 3 g U C Q T l u 2 b q G 6 u p 3 k d D p o y h O L o A A e d r v l 4 f X 0 6 X O J D 9 Q a A V D E J M R n w m x r w c m B q I 6 + 3 g F q a 2 v j 6 2 e V k N P + y g L j 3 e s D X K / r 5 2 9 6 W r m P r U R a L b w a U M 6 E V 6 / e S J 4 I 7 a P x w a o j 0 4 l H 6 c I R Y f W e W Q H S Q X U 0 Y 4 5 t J E z q o u F k O 0 b 3 K Q F F W b E G n Q g j 3 s T n Y w 7 e B U A v k B k R 8 T O 5 B 8 T + A a l + e V z Z Q R q e W T u 1 v + + g p q a D o n 7 C b m 1 t a Z M c g N M E T p r 9 + / e J 4 6 J 2 Z w 3 V 1 + 9 S w / Y x n o v r y V y H a f / 3 z Y P n q 9 / y P g A c + Q d Y c s T H 6 a 2 m d A K g 3 r x 6 9 Z o a G x u M P f H A p J P 3 u u a H A y 0 V W 5 k Y + y u C 1 D X u p K 3 5 Y Y l q 6 P L M j y Z H Q z + z U z k F e p l w 2 w r D d K c 9 g 2 Y M K Y O p y s 7 W x Q 8 + x L D 6 g g X I h n 4 m T P 2 s g c G H U M / g 5 I C q h u H u Z l V y c M p B L / q V J K 4 t C V E d J z M Q U o X I j t 7 u X q q u q R J p p I E y 6 g i j f R H I C / K 9 G U b n b / p j 3 a h 8 g Y B y Q P x Q Z A I g U f q c h 6 l 3 I r 6 R z w T t c i x V M j V s D d J O U 0 M c 4 E Y K l Q 1 h P i B F I j I B u B x M t 4 w m + m 7 E K a o h y K S 9 b o m m K l u I T G j Q m W O 3 a G x s j G 7 d u i P 7 W l j K 7 N i 1 T 4 a 9 Y w 6 L Y C C e o F u Y / H j A I F n J B G A 8 F Y J 0 2 z t U B A b X i O Q A V G Y M Y i w u L q J A U P X L r R e s C w l l z z v A + n l Q G o Y m 0 w 9 B K A 3 Y L d r V b Q X i 3 U 7 t i G 9 8 V u B 8 M N g v K 0 u p f I u p f g s B w a 9 w z S f D + T q f S L T v 2 9 R v g A D R K c 0 Y 5 + t m Z M i 8 W Y I A X q 8 3 6 u Y G E F b 0 r u 0 9 n T x 1 w t i z O E A c q H k a + j f e t r T Q n t 2 7 o 9 4 + l V h V H E v u 4 E g X c N P A R a Z v c r i z W T r F q 3 k / J J m A T 3 f 5 q C w 3 L A P 3 o A b 5 / b M y m S U a 6 2 J k A t C w N J l W C p A p 0 2 L / m H H 1 X W a U T A D I e 5 X J p A c d j k y 7 5 p E J w I B G M x C / F 2 I C p A K Q C a T S 0 H W B O E B d T / j t W U x v x q e Q K U u C x O o 2 H R O c L X x R 6 Z v m M u q i d h N v c T J j 9 c m k b R P M F X G a y Q P X t r 3 n G 6 p h N W 2 p U O c a A 6 5 j J f C x u g d i f 8 J 2 V V N l 8 q B c A L M a w f W O k b x A 8 4 B L V D 0 r q q q 2 c 4 M 3 N g x A k q Q K T D l m B r 4 S Y 7 l A J E S h 9 3 T 3 U E 5 2 j j T H y h w 1 / 3 o 6 p 7 S 2 o d x Z + R b p F H s K A t Y G s R K g w W I W I 9 g 2 V i B Y N R W Y n 9 p X 2 2 J r O q 0 E 8 B q i T + p p 3 8 J 2 H B Y e s K q Y 5 s G E w I M H D 4 1 G r 7 a H D M 8 g O p K 7 m Q C p A F O Z 6 S h 0 A V 8 s A m Y x c B K k q q i s I J u h c o 6 N e y j H Z f x o m i K t C R V 2 V U f d 5 P O w i m y C F E J K N q y 9 s n K r U V o c a F z m I e q 6 0 X 4 o H N k W i I v 4 e P b s O R 2 3 z M R U z u o t A B U u L z + P n j 9 / k f i e J w H I Y p 4 S D X 1 T C I 8 C E E Q L d z O k V U l J M W W F Y j G D 6 Y i 0 t q E C g Z j N p J P G a t H p I K t Q k E 6 J A E k D R 0 g q T 2 3 Y I l j 7 S Q M x c f U Z b 8 X R 8 S E w 5 x + l + / f v y 7 0 D 2 R E a h B i + Z I D 9 c / D g A b p 7 9 5 6 x Z 3 H k F 5 a K Q 0 M D w b w g G Y A c v 4 0 c S + 1 k Z C J 2 M b 6 e 0 y m l r Q 2 V U b z P Z D t Z s T p 0 K s + N S E o E R J t j y i 9 4 w x Y L k L U i N z c n a o + g M Q 0 O D o m j Q 7 u h k f Q M r o m A W Z T M 7 1 0 J B l n d O 3 / + H N 9 T m w y z g P T B + e G + Y u R v M u C a Z 2 Z i q u t C u M 6 q K I b Z e 6 e n 5 b 5 h / n V d Q / h d R L U j h 7 R C m N P A 2 + f R e k 6 7 d P l R 8 2 o 9 z H 9 U R L L 2 k V 5 m R t t Q G u b y S p C s s f o D A Z k T H O N 7 l o u n T 5 9 J H 0 8 g g A G D 8 d E H G s n c 6 c n O C x H c D 3 r z W N r N S R i S F S U 5 Y S r M n K N 3 O p p j L k L 1 W e / I 7 s y k q s o y i b m r q o 7 N I a H x 8 u V L 2 r d v n 7 E V w 5 s 3 b y m Y 3 0 j 1 5 R F x 3 y + G / v 5 + K i s r k 8 G I G r O z P p G Q m P A z y P f C H / B L P h B c P B Z y L S I t C W W z O 8 n v 2 C V P + Z h D 4 o c n F L 4 X s w 8 h X r C + v s 7 Y u z y 8 e f 1 G J m l Z z K G B G Y d e D z p p 2 B T C l I x Q m O c B U z C b g V u B 6 P N D S b x / 7 e / b Z V p m j A Y G 7 t 2 7 T y d P z u 9 r A l l x / X o C T J l R d m C Q X o x v p d z 8 Y q o v C 1 K N K U I + E f D w u 3 / / A Z 0 + f U q 2 I Z W w D 2 p z K I Q + q Y A 8 J P F b A w E m H R 7 5 a Q Y m 1 M u 0 I 5 S D n 4 r T 0 6 o j V 6 t 8 m k R L J V O O O 0 L T g d h T H P F w Q 1 O x R o u h 3 a h P N J y H D x 9 J 5 S O 4 8 9 K l i 2 J A r x R Q e 8 r L y 1 L y E K I / q b 4 k S N u 5 4 Z r X h 9 K A B K i o i B 8 H t R j Q e K c m p 2 S m J E Q 2 Y P o y X G s y Y A h G T n Y 2 N b 9 8 J b P Z T u Q e i 0 Z m S B f C E j j g 9 U 6 L W g m z A w M S b 9 + + K y O R M f 8 g l t O B 1 M b D c m Q u N v 4 q X W C 7 8 j j 9 C B X K a J R Y M Z B p p e o e 5 h 9 H 5 y j 6 c g C 0 J Z A J g D R C V H m y G Y Z W A m s U w W o A H a 9 O D O 5 b A t D / h N U V g Z s 3 7 z C x c 8 Q h k Q p w r 3 t 7 + + j N T E x a L 8 W m u 4 s B k k b E B b 4 D D y 0 M 8 w C J o E 5 j 8 Q I / k 2 q M 0 o 9 Q H 8 i 3 t D J o V 3 m q 5 E k E R E u D T I 7 g O F W E H t P R 8 t g Q B B j d P w S Z g E V n Z l 0 G Q C Z I n K X A H E P 4 8 c e n U y Y T A E m G l e r N n d q w + z B + S w P b 1 o k y D x y I t 8 c k 7 k 8 c I B K v b e T p i b Q j l L O g c Z 5 U 0 l g J w T 7 d l 0 X 7 G h v F L Q y V D u o k h m 3 / U N C k X W 3 g v J c C z M y E g Z C 4 Z W Y C L A c I u z p R E w u 5 w n e C S E i w i + D l Q 8 2 g 8 x k x k D 6 2 Q a + 9 U 8 c R D B w I z 8 m 8 7 V F N U 3 G K g h N e t Z 1 G Y J X v 1 f J b 4 Q d A J K s h O i J 3 p e o e Y J 6 Q E k M W I D k w h s f j 8 Y j N h O 2 F B h M u F 1 B v 9 F R c q w n M k Z e K 9 x F k 0 r d t K e r a Q s A E N G U 5 E e o Y j 3 n x E G f o G R u m z L x y Y 4 + q J 2 2 n y b I + X I 9 n d 3 j 5 Y a D m m o A N p f I A T b p W / 9 7 / k F C r F a d R C o X m e / V W A j O Z 8 H Q H k e A w e M g G O p b A R G e n u Z d / t Q A P 2 Q + B / r 4 B o 7 Q 0 X N g V I 5 F e K G 6 5 w B R p N n t 8 v d S X h q j Q 9 8 r Y U j A 7 P a Q a + Q V T R A O Y Y 0 N D v s l U 9 + m Q x C m T L i m r s G p V 1 T 3 z 3 O P o o E X H J v p J M D L 1 0 q U L s n / X r l 0 y / x w I l w 6 Y 9 S 2 t s 1 X D 1 L Z l O H 6 y I f l L h S s 4 R p 6 R W C R I r p t 1 P J Z C W N 0 R D i A r 8 P u o B T 0 4 8 u V A T G p j z 8 i o f 1 4 7 W M s p r W y o Y C R X i L M a 0 k n G L Z n 0 / m d P X x i l e M C L 9 e 5 d O / 3 L P / 9 e 1 m 1 a L c Q F j K 4 i l m p D m W F W 9 V Y q p a q 3 F t D n h z L p V M W w f G 8 O P 7 T g d M D 6 w 8 e q A t S w x R q x H n N A Q G X 0 + v S W w v D I y t T Q H x t M K D O / 1 n Z i s y N K p p U S y z x u a Z z V v B M n E i / N O T w 8 T L / 6 1 S / p N 7 / 9 O 3 r Z / G r V J B V W C f w h k H D l w S U A c w J q v D F N u r k c I P h 3 m B 8 Y d + / d l 6 V 6 s L K H x j Z j f n R A 6 g / 1 K B t q b F d Q n w a q n B G G J 8 P S D t Z y S i s b K h x W J F o J k Y B G o / 8 F g H 3 k s N u p u K T Y 2 B O P / r 5 + y a H 3 o + / k z e u 3 q 2 J T o d G B o D q m b 7 W w 3 E 7 n I 9 s D 0 Q l e e j x O 8 c C t B J i T 7 + S J 4 3 T + / F k 6 / + m 5 p J I z R i r k a l / f p C N a l n N K 0 B b W a k o r G y r C T 6 u E Z E q F Y H N h q s i L V S 5 m S V 2 o r 8 k a y Y D F z t 6 / e 0 8 e z 4 S x Z / n Y t 7 9 R C I C O z d U C F h d Y K q 6 9 i 5 d m T k u f M O a q W A m 0 8 w H X m K j e c F S I F I U q v x t R J 4 J j 5 b l c V 7 z b 3 A 7 W c k o b l c + d U 5 a 0 7 y Y F O t H g 4 3 + m 6 9 d u 0 P X r N 2 R C k q 6 u b u N I Y s A 9 b w Y a S d P h p q R z m 6 c K u L n D 4 Y g M 6 u v r i 0 2 i D 2 / j / f s P J S I k F W C 5 m 6 U i m + 1 I 8 z R l 1 n i / V O 7 r U h E n + f h e 4 k / k k 0 g p h k E 8 T b S x W T s N D W O M V O J 2 s d Z S 2 j g l b B k l 6 q a n I o 0 S o K D x P 9 A 5 V k P O n j 1 D H 3 1 0 S q I E F k K y B g o b C O O G l q u y Q Q V 6 + f K 1 f D / m J c e g v s r K S i E 5 i I q + L 9 h 1 s I m w z 0 r s Z F h s E W u N m + 0 Z Q q B t B S H 5 b i y 0 B n u x M f c 9 e X t j w z b Q + b t S m E c E F 5 u H p U h d c t J V a i J V C J f L G y 7 b H E 1 M p o 9 j w v b 9 s z f 6 c t Y 0 b D l 7 y O s 1 B 8 S C X O p Y K i S D j i t T H C 8 B + F 5 4 + R B e k w z T 3 B C z M j N T s l 1 u 3 7 4 j E d f m / h g r c I 3 m 7 8 Q 2 B v U h E l w m 4 0 8 C x A i 2 t b 2 T 9 0 9 N e S n C Z G l o 3 C v f h Q T C R c h J O V m u B c m n J Q n W w M I c g M s B 7 h / W D s a S N 1 q t v t u R Q d 6 A G l S I C s R 5 h s N c p 5 w w P X M 4 G O A 6 D l I 4 F K C j l V 6 Z H e p h J 9 t 4 T W r 9 q r W O t J F Q e E C b i W M q p o R k U y M n A 0 a R L g R E X i / V B Y 7 O X N h L H 3 1 0 e k E y A e Z 5 J w C Q A Z 9 D j i E W y S Q j y H b g w H 6 J z f v k k 4 / o 7 L k z 0 r e G x d D Q z w a b s C A v a 8 m S D P 1 S W E o 0 V U B l / f 3 / + z f a t a s u z k Y F m T R Q n 0 o m G b l s y w F V v / w C h R C 2 c 7 q A H 9 j p 8 Q e h Z C Z U M i w 0 p R a Q S s c l f q + g c P H g W E x o 8 u T x 0 w X O b 4 6 e P 3 s h i 1 G b 5 5 N Y C C p Y d D 5 A R C 2 l E M 1 h / c 2 l E m U x y I x e B k C o p X r 9 J i c n 6 M r l 7 0 W T + P x n P 4 3 z 7 m F C G g 3 1 P O F z 5 / M X Y h l J t n G E c 1 n C 1 S i b 2 8 J a / k s b C Y V 7 r X K j k A R 6 G E Y y p D L d l 8 Q L J p v R 0 g J M 4 I / G g y e z G V B Z P B O T d P B Q / K o V i w G T 9 C 8 U n g R J d e y Y W r 3 w z u 2 7 s m 9 y c k r s o N V A f e l 8 C b h Y p y + k L 9 T M C x f P y 9 w Z G J 5 y 5 4 6 a e w I 2 U S h i r h u U Y 6 q f M I d f o t t c f j X g l O 3 F 6 n w t I W 3 6 o Z L f 1 N R u d n n e 0 g g C Q B o 4 X U t / 4 i P Y F e c J U q E h v X 7 9 h j I y 3 B L B n i p A T k i 0 x Q C J d P q j U / L + K 5 e / i 6 4 X l Q q 8 l v W p A M y X b k U y 6 Q 4 7 C N e N 1 Q o x D 7 p Z n f 2 Y 1 d T R S b 9 M u B m F Q R J V p z E p Z E 2 T i J o w y o n a x F p M a S O h k i I F P s 1 4 J + n K l e / F B l n K u C G R U N A 1 U w D s F M z b f f r 0 S Z k z Y j F b K R n g T k 8 F I N b + A 4 3 G 1 s L Q J o k e o W y O a T Q D o U N j X c + M L Q W t + n V 0 d I j K + b 6 9 X R Z V w 2 q O i M 6 3 Y j K S S w + 6 4 / v G o q T B n 6 W s C G a U 9 T H Z n x 5 I G x t q N e 7 p / m 0 2 u n j x U z p x 4 j j d v H H L 2 L s w F v K o J c P o y K h R W j 4 w e U m q c D q W J k 3 h 6 c T A S v M y O I m A O f p + f W F + i B Q 6 f D E X O V T O n b W 1 4 v L H L E i f f n r O e E c M 3 R 6 n r M J h h t B m T o x i R R Z J s W 0 z m W B H O W 0 R U 0 t Y 2 3 9 p J a F W w i k 4 K 3 Z u U R U L q f H R x 6 c l w h z T E O s n I E K K z E Y 0 9 p s l W X O / i / o n 7 T Q 2 Y 6 f H p j W a 5 m F 5 Q i k O V l t s K U i F / I k i v 8 3 A P B r w F M J W s 7 4 X d 2 u h r g Q N L M S N Z X S s 0 L d H k w f k i p V j Z E L q m 7 D T 9 o K l 2 7 0 f G u k T y y d Y P q W s z g o M H M T c B j D 8 v / z i K 7 p 2 7 b p E J W C 1 c g R 0 o v 8 E n Z 0 y V x z / b P + k Q 9 Z u q s i P q M W l t w c o k K S e l 2 P H W A F v W a p w s 7 2 2 H F h X L w T M 6 t t h Y + V G M y K O h U O c o B p C O i W C 1 K K J N P N T j G C D k 3 x u L K E S t o k 1 m G z X X r Q s v 5 X + i J i 1 7 Z I 5 2 + B 1 0 z d b g L I q L Q x + 3 / j z / y 3 9 M Z h h B 5 E I k A J w Y y c a O Q t J B U J h S Z e + K R c / J e e r R 3 A A W m d 8 1 e e G J / t y A b t t d H R U + o 9 S A a 4 n 1 d H F g 1 N 2 2 p L A U d P 8 4 i X b Z L G 5 H 7 C 4 G h Z Z 0 6 j I D 8 u E m 1 b A P k u 4 L K m p n j C Z Z S Q S N j p 0 V S 6 J 7 3 k o F O A 8 S K E g k l / S t t x p q t m 3 N P v w Q 8 N 2 / U X r k t r j h 8 a M r U 7 U L z g K 4 g j F 1 R Q t L o D Z 2 W k 6 W N j L 5 H F S d 3 e v 6 P 8 g D I z 5 x W Y f w g T 7 e i Z X S D E 0 9 t e v 3 0 p o E M 4 D 0 w y j I x Z l L O 6 8 b w W V j w 5 b 2 E 8 I R 0 o F o 6 y 6 4 m G T 6 j w Y I I B E S F u A B w r u D V R i P H Q Q D o X + t p c D G T R o L B 5 g H T I / z q r w o y S q 8 I 6 i E L 0 f x U O G 6 4 t / N E Y o F f q k C I V I m C C F Q S Y m V g h R E 0 y o f O c M H T w 2 f 6 L N t Y i 0 s a G W 6 S y L A q E s r 1 u 7 J H 4 O j 0 o E t 4 J I U P u S o X f C I Q l k Q q W / e N F M N 2 / e p g K W A n B u Y A 0 l T 7 h Y + q B g k 3 3 8 y U c r I h M w M D C Q M p m A D F Z N l z O p T C I y A X h o I I A Y s Y a I J 8 R 0 A L A 9 7 W P P q L Z 4 v q 4 L F S 8 Z m Q D M M 4 G f 0 g 9 D q 9 0 E q R X L 9 T H O I a 2 n V 1 j 5 P y L S y I a S l w R I t j 8 e u X l F 5 K y + R K f O f E q l Z S W U w 6 p c Z 0 c n D Q 8 N s + Q L S q e o j u w e 5 i d w i A U S B s N V 5 i O I 9 R X d v n V H Z l f F + B 6 E G w F b t p R T V W F w a S r n E o A 1 b a u q 5 k + F v B g w Q a V 5 t c H V A M K F E E B s B g i F I S f + 4 R d U w g 8 Z e A o h 4 Z J F U S S b n j m O M A l z T i A W f 7 n e H 9 c W 1 n B K H w m l 8 x W K q m + + v i y D C f P z 8 q h u V x 2 d O f s x v X n z h p q b m 2 V x s G D Y J q s T 6 t A b q C Y g 2 o G D + y U O z u x J Q + P / 7 r u r 0 X P T u H b t h i x u 3 d H e I Z 7 E p a I v x Q l W N N B 5 v J p A I 1 5 I D W 5 s a K D p 9 u / p W Z 8 7 s b 3 E a N w S l A X g o g A x R D 2 3 J C E O i G Q h k 2 y z r W X k 6 Q L b 9 e a 2 1 X r A / q D w 2 e u 4 Y a 9 8 + j D o 5 J / t S / z + q z f v 0 y e n j k T j 4 W A / v H 7 1 R g Y V J h t a D m 8 Y J s S 0 Z x V T Y Z a a B d U c r 4 d o 9 E F W 4 / y + A F V u q 4 h O 8 Y V F x w b 6 B 2 h n X a 3 Y J h g L 5 Q 3 n 0 r Y t h f L Q w F T R S w W u f 6 U P G j O u X 7 8 p o U / J g A j 8 b d s q 6 Q / P w p S Z F R + b e L w q E L d A 9 r d v c d / 4 f v M / y A E n B B 5 S 2 h k R 7 5 R Q N h R s J 5 S x U D b q K 8 L p 4 q U m 9 Y V r H K J C p 0 d a O m k W g t O V E Y 0 Q g O Q x R 3 V 7 P S N x D R P L z C x E J g D u d 6 x m / v T e V e r h h m a N r I B 6 u H P n T h l C A T L B E z c 5 N U W 1 t T s k Z A g u d p w H Q n b 2 V B f Q 4 7 Y J y n I u v d 8 F Q 0 H M f W e p A m S E d N Z A h I Y m U z / b j 4 k A q f v k y V P 6 2 Y H Y v d L L 8 S R a b V 6 k T t J k S C P j I a l z 9 d C M p f i 2 s I b T j Z d p I q F s O 8 k f g F t 1 / k r v O k 8 F O + w v + e k Y E S l 0 6 v R J 2 Q e v 3 7 f f X K G m w w f p 7 Z s W 8 r F E / M U v f i 7 H 8 D 6 Q I T c 3 j y W Y g 5 + o y q O G z m A M o 0 d H J x r B t C 9 C + T n L n 8 C y v b 2 d i T w c n f t 7 K X j 7 t p X 2 7 F n e p C / o w N 2 z d w / l G T Y Y o i O W M i 2 z V R I n A q r l c g u W P G V S w L M 3 p y S T W U K J l A q h D O k E K Q X P n p J S k E 5 B T j m Z 6 I j f b 3 z r 2 k b a E M r h L K R x X 4 H c d K 3 y r Y R Q T W X D V F q U J 8 4 I t 9 s l k g a r Q v C 3 S a i M 3 w f p N S P S C S o g f h M J 2 3 D f o 5 z F 0 g f h J p m y 6 p 7 C S h c B w O f x / a n M / j o 4 O C j 9 T w t J 0 m S A Y 0 a v C Q U P Y 2 5 O L u U X L G 0 + 9 1 c v X 1 H j A l 5 N T L c c C C k p J P d v E X U P u S K S 4 T Y X l c 9 H u 3 d t o R 2 1 q a 0 q 8 q H A p n d C w b X m U j i E y I H E x M E 7 U o U j Q z V Y h 8 N O r a 1 t M j 0 Y 1 n 0 d H / f I G k s F 3 K j g K o Z 9 B K J h y R V 0 1 m Y z i d B 4 4 Q W D h / D 9 + 9 h S l 2 g 0 8 B i + H l y e h M J I W x A b 3 w M P 2 l I A F Q 3 O l F S m N 9 M P I B C 3 u q Z a r g v S u b e n b 8 l k A k A m O F 8 Q W Y I I E 0 z H B i m O e 4 D f U G T i B G 8 d X 5 O S V E a O / Z K b 9 i G P l h X 5 s F 1 d g z W M 5 7 e J t Z j S y I Z S D S G h 8 b 0 M g 1 y v l g 6 n A t z f r 1 6 9 k c Y J 9 7 g Z M L 4 r K r b K 6 F c z I L X g S K h g 0 m l g k C G I a J 5 7 L h V g J U N c H 6 R T l k N 1 m v r Z P D L a f 0 L A / k K w L 6 S i t q V e v H h J I y O j c g w Q g v K 1 g T T / / m 9 / k G s G e S E N 9 f 3 E g 6 J u V 6 2 U U 0 F j Y 4 N 0 J W C Y O 0 4 U 6 i o 6 z x V h + M Q l N x G G c 5 y P z m N l Z T e J 4 0 L I p N 6 P M q Z 5 0 2 1 g r a e 0 m p e P 7 z C / c H E Z B L I C Y U N f P o d E C Y i X D W T 6 t 3 / 9 A / 3 y P / 3 C e E c 8 E J 6 k h 5 0 j r g 9 A I y w q L u I G g T F Q E 9 J H A + R l z j f M F w P s M D g o t K R B I w I y n L h e K c 4 D P I U 4 d w D 2 j I z g 5 b / d u 3 d R a W m J q L P 3 7 j 0 Q + w 9 z A E 5 O e e k X / / F P h X w Y m m 5 W K 1 W o 1 P L v K y Q r h q 7 g t 4 E H n Y i B V G Q R c h l 9 S j I K V 7 b 1 M Y N U e t t E J J F Q v G 9 e O 1 j D a W l 6 x R r B 2 Z 3 x o S 4 r J Z Y 7 M 5 v e z e 6 Q M h Z u x q j a Z H Y I J J i 2 j e D S B q n g m N C A t E K j A v R Z I U 5 u I X C 7 i g I N B + s o 6 T n 6 t O v e D D T G j s 5 O u n X r t q h W 8 B S a s X f v b h o c G I x e A 5 w m J 0 8 e l 9 G z m N 1 p K 0 v i Z G h p b U 0 5 D t A K u N N 1 n U x g 0 K I I K J P k i S N M r K y I Z d h X m k h y D P n y p P 2 H A t c 4 b k B 6 J K 8 P 6 7 y u n p Q C M P 3 v K 7 Z 5 4 J i o r t 4 u I U l W K A m k A m m B H L d i g t 8 U k e 1 h 2 8 s K B J 2 i o 9 g 6 I n b I q 4 i m L 6 G n p 1 c a s 9 s 5 J 3 Y b V D L 8 p h V Y K H t H T Q 2 T 4 6 O E j R / 7 o O q h r y 4 V Q D U c 6 B 9 c U U A v J D 3 U Y 0 B P A Y a 6 E u I I Y U A Q l e v O W q X e J U u K W G W l k K K x N r D W U 1 r Z U O 2 j 0 / R x z U x C M q 2 E Y H 0 T D m n 4 e J K j M t E 4 z E D j r q r a b m z x b 3 G 7 w 8 Q l G C 4 B u w W / j f i + R M C q E t Y R s e W 5 M c k G N R I 2 m h l Q J V v e t o i q B r s H H a 1 w P G B h 5 8 W w f / + + l K I z A E g 0 9 D 0 9 u P 8 g a o d p d J n W e l o I u G + i y n H 6 v s 0 d J U 2 U S E a S 9 5 l y l U C e 2 L a Q y f A I n j i 5 P 2 F b W K s p v W w o T p E Q n t 6 p 2 y i L A d M S I 1 o a 0 s K q b u H J D S N e P / n x H M d 4 q K a m Q 2 z Y + 2 h o Z E w 8 g f D M Y c V 2 M 2 Y S j L Q H U b 7 6 6 h s p I 0 z J O j A Q v 4 M V 4 h G Y C n K h s d f U V C 8 5 a B a 2 k Z o w J b W F D Y 6 f O E 6 P H z 0 2 t h S q F 5 n U B p I b w L g x k M I z w w + g K D F i t h K O m V U + d d w g j 2 w r A p n J h H 1 2 B 1 e 6 p Q 2 s 5 W S 7 9 b p 9 v m 6 x h t F Q l k U P e 7 P 4 y Q 9 P k l I r t H a U S E 1 K F R O j / Z R f r C K r z Z h o v U y f X z h K 2 W x H Q Z r d 6 3 I v O M O S H t q A i U b y M 2 P n h T 4 j O B L w / Y j o x v g s K 1 6 9 f E 2 N + x q M r e V j s X 6 i R I D 6 h 8 8 d P n L Y 2 L M 0 C C n 4 / l 9 + C 2 c E 7 C Z F F D N B V L 8 T y u h 7 4 j L 6 n t C Z a / R D q T 6 o g H T m o g 8 K D 8 9 f / m e 1 T l e 6 I O 0 I t T X b R k U 5 m X S t H W t F q X 0 x I k H l M I o f G F j h o z I / T N M B x O W p 9 W y 3 5 v r J l c D Z Y A Y i L x C E u x I V 1 g y 4 x t F R v d j v a t y + e 4 + c L J E x R w Q + a 4 5 i x + j m m Z l p m p i Y o s O H D x l 7 F U C e a 2 0 u 8 g c N J 4 R I m H h C K T J h W 5 N I p V A Y x D I I x e q 2 E C r o o 5 2 1 W + j g o T 3 G L 6 Q H l m + F f i A M z M x J x Z R l w 4 V t Z c / q N M L V w C t j J T 7 t w K g q D F N r S 4 u U F 4 L 2 F C Y D 7 D u r n W M G Z h / C n O t Q + f r 7 B 6 i 7 u 4 c e P 1 R q H M 4 E q m s y o K P 6 o 1 M n p V + L b A 4 h 0 5 M n z + j 5 8 x e y i i P 6 6 x C X 2 N i 4 1 / i E A h 5 o A 5 N 2 J h P K k F Q q R Z 0 O R h 5 V / a J J E U z U P Z A N U o u l F y T Y H J f T j U y A 7 f a b 9 J J Q Q F 2 + g x z 8 x L 3 O U k o 8 B A w t p W L S a m 3 C O s o 1 E W D H J Z o E B a N y i 4 u K p I z o D i w u g K E b c F z 4 m W g g A F T S R M D 7 d + z Y I Z 2 u 9 + 8 / k J m K 4 L x A V 0 B r a 6 v Y j b h 1 e i G 4 I J u L r g S x s W Y 1 V d / r 1 4 M O 6 h q z x S S S k c t 2 V C q B L M h N 0 s n I Y 8 P e W T q Z I s x / 9 e e X 5 P v T C d w a 8 V R P r x Q I Y k D g h F S c F a u l K v 0 Q y M 2 I J B 2 M Z 4 Z 1 j S c t k V 6 / a Z P r Q 0 L D z 8 1 V 8 2 H A n V 9 e V p a U T E B 9 / S 4 h E w A J h L k J v X O F 4 n B p a G j g 4 / X S 2 a s n Z 5 F F z x I A 5 D V j e M p G 3 V E y G d I J u b E d L 6 U 0 2 f R x b K u Y v m g y S F d S k s f f P r / u 1 3 p K O 5 U P 6 J 5 1 k N u d Q b u L x r l i U u t z + Z D w + t X t t i 5 0 Z g U i D v T 0 y v A I o t E j k s P u S j z T U K J O 4 E X B w q U o O 3 6 F D 5 S b m 9 W K 7 T V F i e 8 r 4 v 0 g m Z C w X O e T H o c i C I h k U u k U q Z S U E v I w W W I k 0 s Q x E p c h v a D u Q W q B U O c v n j J + M b 2 Q l o Q S 8 F O 6 L A + V q S r K D D w r 1 j J q M n v F m 4 Z G C d c 2 7 C K r q o q x U m 1 t b e I 6 R 0 P H A + T U 0 Z X N V 2 H G 3 o N H Z Y g 6 Z j P C / H m d H o c 4 T n b u j I + + s A K 2 m S b U l b c u v v 8 x I m n y S N R D l F w G e a J l P h 5 O R C x F p A i k 8 d z C r v q 1 D D s 0 p H R M g z 6 b e J y 0 5 w i V G g X e s I a x Y 1 u p d K Z q j x 7 6 c D C r E P q 0 0 G A R k 9 f a 0 s r v j F 3 H 0 y d P 4 6 T J S j D l n S E n + n c Y B y q C 0 v H c M e o k b 1 + z E D g Z Q K K x c Y / k 3 7 6 Z T y Z N m P l J E 4 f L W i I Z 0 i n O 8 8 d k i o S D 9 N n P z 8 6 r 7 3 R J X E P 8 m o Y p E L G x q s O V i o r g J F L K 8 p R f q 3 j 6 9 J k k 8 8 p + u B Y s L o A J Y T D F W T 3 b S L B p N A o M Z 8 R q I M P t p N z M m I 2 E O f a C o T n a 2 x D v v T M D J A I 5 4 P i 4 2 h J T 8 y S P k k a V V T K I E t 0 f 2 x a 1 T m 8 L q T S Z U I 8 h o w M 7 c b 2 v 9 Z S + K h 9 j M o y K R U U Y l W O S U m v F O Z F v i T z H W S H C A g m O A g 0 0 I k z A m U w K V V b G h y c t F 1 j u J s D 3 T Q N O E k y 0 M j U 5 T i + 6 E i + g o M m E / N j x I z T r x 6 j p x G T S Z d S J b O u 6 0 c e i E k l J J 0 U m N b g Q o 3 b 3 H 1 j e y O O 1 g r Q m l D d s N 5 5 8 q I x Y Z W m s B U p N + u J v s Z V g Z s A B g R A j K + C q 5 h Z s b K 0 M m J c w H P A K s b 6 4 9 Z 6 6 m 7 + j g b Z H 5 J z z 0 1 T P I 7 H b z J 4 8 k E i n Y H i O H g 6 U M e m V h I q S h P M 4 M p l y t V 8 v + 6 n q R 3 L Z j i V 1 P E T 7 D 6 Z f 3 5 M Z a W t D 6 d R U h e m Z z Z W j n R T c A P G G N Y a D b L M k A + y X W R k h H A t u h X c P k 3 F m Z C z u b l 8 M + F 4 s A I d B g J D g J d v 2 U N X + C 7 R 1 1 1 H 6 0 x P F E s W O y W J G h k f o q 6 + + F S I r Y q h 0 t V X Z T d A E c I / V w y w R m S w J 9 W I p i 3 R i N U 9 J J t 7 H U i o n y x 2 t 1 3 R N a W t D 6 T R t y 1 I V q y s G F S W V p p 6 q a w 2 3 O u a 7 z N H Q M d Q e M C / 9 g j 4 h O C g + / / y n 5 G Z C r f R q v v / u q q x 8 j 0 l m o F o G I 3 Y 6 W h W g T + t 9 c j c B d P R i W P y f / M k F + X 0 4 S k C U u x 2 G E 0 I T Q 1 I S M o k X j 1 O c R D L U u 2 h u J K h 7 h j P i l 7 / + j M 9 g f h 2 n U 0 p r l U 9 j f 2 W Q K w S V E i M V y v I U F V K t H W I x z 6 l r X N k w c J 1 / + e V X d O X y V Q k Z u n z 5 O 5 n e G R H m w M M H j 2 X h N j R + X E G i p W G W C t w H h 8 N J v b 2 9 N D U 1 K d t Y 3 b 0 o K y J j e L C t E 8 g A w A G B s K O W t 6 0 0 5 T N i 9 A z b C S k 5 m Y w y p 6 g X T 4 4 h g U S 6 r m K 2 U 3 l 5 c u 9 i O m F d E C q Y k c 2 V q 8 m k c i l z J c Z I t X b Q M q z 6 f t A h m 5 u X R z / 9 7 J L M W X H p 0 g V Z t E w 7 J n A N m F k J w C U s t q b T Q o C K 5 8 t r p D 1 7 d l N v T 7 8 M R t Q E k i 9 n a D I h g Q i I K 0 Q Q b F u g z r i X i h R W K Z W w L H W A X J E q m W R C H g k F 6 C e f n 5 V z S H e k 3 X i o Z K m h L i O e T E Y F o n K j D W c N A W s n f f 1 w i B r 2 7 j b 2 x A P j j D K z M u X y g E R x d a m i u C C L v v n m M v 3 k p 5 e i Y 7 D 0 v d F J E 0 p I x S n E E i c 3 w 8 7 3 M 7 Y / l j S R Q B z e B o G k b E r i h Y 1 / 0 E V t J y F V g D 7 / 0 / M J 6 z Q d E 0 v 7 d f J n 5 w Y y p y r J S i x s r 0 V J 5 S 6 q p b d T 2 2 h 4 e I S + / v q y e N 5 u 3 L g l w / A n P B M q 6 n s V M T Q 2 T f u P n Z k X q j S P S C Y b C P d t 2 o / j I I d F S m n S I B n H 1 T b f e 2 M 7 K p 2 g 5 o l E Q r 1 g 3 j 1 F J p o L s 7 p X a q 7 J 9 P 6 7 1 9 q 9 t l r Z C v H 8 9 Q S T y 0 l 2 p 0 t s B j v K / D S G q 1 d y G w v l V Y o 4 W A 2 g w V Z m D l F l w Z y E F + n + H c z 7 t 5 o A a T o G p q j f Q 3 R 6 b 5 5 s W 5 O Q C G X k 4 t R R 5 / J 9 q 1 v t M 7 x 7 8 j 4 m i y q D O E Z u J p M Q S U k m R R 6 Q y Z j A U s Y 9 q a j y 3 / 7 j n x l n u D 6 w L m w o M / K y o Z 6 o y t O q B b b V P q O y 0 R i 4 4 X A z U x / 6 g A C 5 3 / Y F 6 e a N 2 y y d b t K j R 0 9 k 9 c C H D x 7 K t M j D I y P G O 5 c P T Z j i b J u M y R L b J k o M l c x S S e 0 D I f R + d c 9 i k o j v p 9 6 n 9 0 s y 7 i + X 9 X 0 X y Y R t q Q 9 V J y A U p F N N j Z r U Z T 3 B d q 9 t f U k o 4 O m L U b 4 y S C Q X J 6 e S V F p K c U I j V r l S f G V I B D 6 I j o Q P B O u q F R p f / O G P 9 P n P f s r n q 5 5 9 6 J f C / B V o y J h U B u p b o i V N N T S Z p J I 5 7 x 0 c o 5 G J A F V v 3 0 J t w w 5 q q v T z d y l 1 2 J y r x G W W S t d a X b x f 7 T N L J V 1 W B A 2 T j Y k W F B J q I n H O S U k o P c Q d k o l V v U i Q f v O 7 v 5 B z X E + w 3 W / r W X e E A h 4 9 G 2 Z O a Z W P S c U N T x M K j R M 2 l + Q Y o M g 8 E l J B H c S H P x C x E g 0 + x A S a n v F x m b Q F w J T H O 3 f W S o P 2 + f 0 0 P j Y e F / N n h i Y T M D 0 9 Q 1 1 d 3 e I 2 D 5 O b d t d t p 5 L S E n I a z g k h E N 4 v J N H k U i R 6 3 R e m 9 w O z l J X D q q I c V 0 S S H J J I 8 j A d r p y h + 5 2 O O D I p N U 8 T S p E p z P l / / W 9 / J b + 7 3 r D u V D 6 N f X u L p P d d 9 X U o V U M q 2 E i 6 w t E w 1 N z b R m O S R q i e 1 N I Y j Q b 5 Y 6 B 3 Y n 5 1 F B Y W y L q 9 G O a B V F l Z I Z 2 v G F S I p X I w n 6 A Z O N t 4 K R O R q c r + 1 + + v U V 1 d r c y g d P 7 M c S r i 7 0 S 0 + 7 / 8 y + 9 l F f z J W f 4 M V D N + v 9 m h M D o 6 R m V u D 2 V m 5 6 r j k E Z y / + L z p o o Z 8 g X 0 P u M + C 5 F U r q Q T b 3 O + t y G 9 4 / U W w r o l V G Y G 1 n T l C j a e j t D Z J Z f K R s N Q j U G R C o n f K 0 S K J 5 P 8 G W X V X H 8 4 b C t I 3 M + E P i O E J S F h 8 K E + P 0 h Y L G 5 g J k 9 M g s Q S o j C O N p T L w 0 L Z R W F R E w v y C + j C h f N 0 9 N g R e t c / o 4 4 x A W Z Y m m E K Z 8 x H g f n W w 8 4 8 g z g q K V K p e 4 f y 3 r J Z / t 0 Q k z K s p J G J T N g W M s n 9 D / A D w E k f n z 1 m X N n 6 w 7 r p h 0 q U j h 6 u k I o G q b T a E U 3 S G H T S B F M k Q x J i C Z n 4 u 9 C A j b K Z b K t N M O s M s 1 a o U 1 G / i R x 9 S V g x B L M T Y R v k U d e C X C d 1 L X n 5 + e r a D F V N S M H l O 3 f u 8 b E 8 e n z z K 1 Y J O 6 m 3 r 0 + m G D h 8 u E n m W s d 3 v B + x y X u V 5 F I P H 3 W / w j K T k 9 s e o n 5 P h F o G s T i 4 I p M Q C U m T i X M b n 8 f f / c O v E 9 b V e k m 2 B + 9 6 V 7 d V r E H c u d / F j w 5 l S 8 G G M t t T U V u K k 7 a p o v Y U c t k H p w X u F v b j G + U l I a J H d E H f 3 X k H E i P Z J C 6 a S A D K e h u h S g h h w l T Q g 0 N D d O b M x z I C G F M 6 6 9 U 1 s K z p 3 o Y 9 8 h m Q U N t K 2 L 5 2 7 S Y F i g 7 R R 3 U u c j q x C L W W c i A o S K T i + E I h 7 F M P G y X 5 w q z m g c j 8 H i b R g 0 6 7 k F Q I J S p 2 k P J c f h q e 5 G 0 m E x 5 s v / v v f y P n v J 6 x I Q i F t n f 7 f q c i j 9 l R I Z 4 / k I l z o 3 8 q S i p 0 e V v I x S 9 M B + Q o x s r G y y L A b U 7 0 P t 6 v a 4 A P X 6 x f m F D m X C X Z 4 g Y f o v f v O 6 i 2 t k b U Q E S V I w i 2 u f m l D A n B m k 0 v X j T L i o z 4 H A i D V e d B v G f v x 6 n Y N S 3 2 m S Y U i C T E Y Q l 1 u 1 0 v O A d C R a g g M 0 g 7 i / w U A o E 4 z f r D 9 L y H F W x D 4 o u t x F J J t I I g R g M E m U x / q + 7 h O s e G I B Q Q C I b p / s M u J o o h q U A m Q 2 K B R E p a c W 4 Q a z 6 p Y g k t X 3 J s 4 8 s l x z Y 2 5 K g q m J D 4 J h t 7 j a x p W 4 B K c p Q d p Y m i y k w c V Y h t G 2 X M w Y f 3 I d o C S 9 j k s 1 2 k j 6 s U k e n H H j 9 6 Q g 0 N e 0 W N w z 4 s d / r t 1 9 / S q d M n q H d g l M r K y m m w v 4 t 2 1 9 c b 5 F G p c 9 R G 3 R 6 l 8 o F o T l u I 9 m / x R c k E I j / q Y u k k k k m p e 6 L y G a o e 4 v T + / h / + n L K y V j 7 8 J B 1 g e / B + Y x A K g N p y 5 1 5 7 j F R R i W W S V J J r Y o E 4 i l C 8 I X k 8 q f j V K K t / l L E Z L T H U s a R Q T J G 5 H c p y 1 e B I x Z U Y e X S u d o M k U p A G 3 d r S J s P l 1 X E c M y V 4 L q P b I M g c k 2 u U O t o 7 Z a E 0 B 0 s w v O f a t e t 0 4 O B + c r v c M t W Y d p v 3 e I g 6 R v U g T i W d D m + b l d / V 6 t 2 j b o N M B q F i D g g l n X 7 7 T 3 8 l c w d u F D C h + l S N b R B g B Y t b d 9 7 F k Q o d v z Z D / V N E M o h l I V W U T L o s Z D H 2 C V B W u b y a y o s B q 6 h r E g E g g c r l 1 b T N Z V W g I D f i v t 4 + 2 r 5 9 u 5 A J + 5 T b 3 0 h R Q i k n B G a S z c z O o 6 H Z b M p j g V G a H Z L 5 D Y d Y u h U V F s p w D R B p 0 j d H L / q M e S M 4 m Z 0 Z T Z W K U J B M Q 5 N z L M G Y 2 C Y y K Y e E k k y / / a e / 3 l B k A m w P N x i h A L 8 / R L f v t h k d v 1 p K g W C G 6 i d E Q l m T K p 5 Q 2 M c v Q i g h j V F W / 3 i J k U j v X x B c A x j k x 2 1 f b e D V K C f K + V X e I M 4 I j 4 d V v T L e x F 4 c N y W D U F h Z v q y 8 D B + U c 4 F b H A t U V 1 R U U F Z 2 l m x j a R 4 Q 5 k 6 7 S 5 F I E t Q 8 R S S U S 7 K C V J n H t h M / l E J M o C d a O h l O C G 0 7 w W b 6 L / / w F 5 S d s / z F u 9 M V t o f t G 4 9 Q g G 8 2 w J K K S R U l F H J I J o v n L 4 5 Q Z m I Z p B K y q H 0 q V 9 v G v y q b s k Q o z o r Q w c r Y B C n M A b x K + 8 d G N N f 7 j T K 8 e f D y w T b C 7 2 J f j F A R 8 j J R X r d 0 U h M m P u F j I n H 4 G H I M b 4 e 7 H O e N b c x 6 9 K C T 1 T 3 + n C I U V L w Y m W A 7 N Z Q Z t h O T S M g k N h P 6 m g w V j 3 P + M P 3 t b 3 5 N u X l q c b q N B i Z U v 1 T T R s X l K 8 / 5 L p h J p X K z h E o m q X g H 8 8 Q g E f a B N Z K r b Q 1 F t u Q o c n p o Z 4 m a 3 P H N m x b y e q e E R P z L Q n J 8 G v b O r v p d l J m Z I a v U g x g g 1 P T M D L 1 4 3 i z R E I i g 6 O / v p w M H 9 t P M r I 9 q q q t k / j 9 t P w m Z h D C s 0 r 1 o p g a 2 o 0 C W + x 2 u m F e P k 1 k q I T F 1 q L G c y Q R p x N L p a Y 8 m k + p r 0 m R C a O Q / / c + / X / R 6 1 z M 2 P K G A b 7 9 9 y n f C k E w i p S y k 0 r l I q B i p + M X Y 1 q Q x 9 u F L d S 7 7 p M C Z U U i A M 3 H r B y s J J G I F r 5 z x H i m A G C D P n T t 3 J b 4 P t o / 6 f b u E I y E 8 C d K n q q o q j k C x n D / P R M S a w J X b K l k q u W Q Q o U g l E I 8 l U F R C G c T K c g R p R 5 F P b K e n L J l U a J G h 4 h n q n o s J / 7 v / 8 X d y v h s Z t k e b h B J 8 / f U j m t O k i k o q k A n b B p F A L M n R g r F P E U v + V K t W p J E i v 6 C A V 8 l U e S G c q P Z T h l O o Y 3 A p R q w Y q f i f N z D / x I W L 5 7 E h 2 3 J c c h V q h A k z d 9 b V U n 5 e v p D C T C 4 E y M J 9 j u 2 J G b V 6 R h y J m G A x Q o W p p t B P U 7 M R i Y Z Q 3 j 0 t l T C Y M y h E / s 0 / r r / I 8 e V g k 1 A m t L b 2 U G v b A H O F y T T P n u L c I F W 8 6 h c r g z S S y z 9 e F I n k 1 S g v h o 9 r / f x + R R A g S i K d g z T 8 d / P G L Z n 2 S 5 F o f g J Z M K 4 K T o e K r V t l H 5 a 8 w U x G W D J U O x 5 6 P U Q 9 H p Y 6 B q F k v 9 h O K s F G k p y l k k g m k 8 2 E 8 z x w s J H O n D + p T n Y T T K i O A a P q N g G g 4 X 3 5 x T 2 + M z E V 0 C y l N L m s Z N L b / I J / h t o n w D 5 V Y u h 9 K o s i W g t z 9 B G T S m 2 D H L J T z g v b i H j o 7 e 2 T s K L d e w x n A y Q P H 8 d b I K G 0 d w / B r c U l x T J 3 O o g y 7 v F Q r r G S v S J Q h B 5 2 o d 8 J 5 F H b u s 8 J k k j H N k b J J I R S U w y g v w o q X v Q a N y H Y J F Q S 3 L z + j M Z Z H 7 K Z i S W E w r Y m l y K R N C q Q x l z G l 0 i O b f y r X C F a S I A 5 i Z b Y X a p W a D Q T C n + Y a w K O B i G J H J + f / D 6 / h B + V l p U I u b S q B z c 7 p J T d m U n P + 7 S a p y R T l E w g k O Q W M o l D g q W S b U 4 k 3 N / 8 5 l f q x D Y R h 0 1 C L Y J / / 9 c b b F u B P E 4 l m Z h M M W m F b Q u R j H I 8 k R S B 5 j 3 N Z d P Y x 0 Q w 4 1 S N X w h j / M t x / I F Q s F l w D k I g / B k S C Q k T Y x 4 8 e E D I r o N g k W M g I i R W b f 1 e e t k / n 0 w q V 4 R S 0 k j n I B R L J T 7 m d r n E i 7 e J 5 L A 9 3 i T U o u j q G q B H D 9 8 S i y k l r U A a C 7 m E R J y D P K q s i K Q I h X + 9 b Q D H E 4 E b P 3 B 4 e 4 B c d t B F 7 Z M S / 6 M j d 5 b t o J L i Y v n 9 t t Y 2 m e l 1 d G R U B i J i c e p o t I R B J k i X / o F B l i z 5 9 G o o x 5 B Y J i K B P C g L e S C h Y l I J 7 w M 5 d 9 X v p J 9 8 f k 7 O b R P J Y X v c O b h J q C X i 6 z / e J u + 0 j + + a t q k M 9 S 9 K K k 0 s n a w 2 l c o V O F f / U U Q r w i D V 8 W p l S 8 m W Q R K s v 5 v P x M C k 9 F D 7 t K S y k g g E w V p T m K w S + 0 a n j b g 8 J p M i k c q V p N L S C M T S U i k k v 1 F e X k Z / 9 t e / k P P Z x O L Y J N Q y 8 H / / + V t u e F z Q h A K R z K Q S N Z A T x m + C R f g X N h l l v A C y L w E U g y T L n H x O O V k Z V F R c x L 8 Z o b H R M a q t 3 a H I Y 6 Q o m T i h 8 7 W / r 5 / t p 1 I a G R 6 l s v J S e t b L U g t k E c l k E A i 5 E M h I / D k 1 K W W Y H A 6 7 T A f 9 m 9 / 9 J U 5 k E 0 s G 0 f 8 H k s 0 H c K y 5 x 7 w A A A A A S U V O R K 5 C Y I I = < / I m a g e > < / T o u r > < / T o u r s > < / V i s u a l i z a t i o n > 
</file>

<file path=customXml/item3.xml>��< ? x m l   v e r s i o n = " 1 . 0 "   e n c o d i n g = " u t f - 1 6 " ? > < D a t a M a s h u p   x m l n s = " h t t p : / / s c h e m a s . m i c r o s o f t . c o m / D a t a M a s h u p " > A A A A A B c D A A B Q S w M E F A A C A A g A 7 K 5 t U p l 3 6 Z 2 n A A A A + Q A A A B I A H A B D b 2 5 m a W c v U G F j a 2 F n Z S 5 4 b W w g o h g A K K A U A A A A A A A A A A A A A A A A A A A A A A A A A A A A h Y + 9 D o I w G E V f h X S n f 0 S j 5 K M M 6 i a J i Y l x J a V C I x R D i + X d H H w k X 0 E S R d 0 c 7 8 k Z z n 3 c 7 p A O T R 1 c V W d 1 a x L E M E W B M r I t t C k T 1 L t T u E C p g F 0 u z 3 m p g l E 2 N h 5 s k a D K u U t M i P c e + w i 3 X U k 4 p Y w c s + 1 e V q r J 0 U f W / + V Q G + t y I x U S c H j F C I 7 n D M / Y k m M W U Q Z k 4 p B p 8 3 X 4 m I w p k B 8 I q 7 5 2 f a d E o c L 1 B s g 0 g b x v i C d Q S w M E F A A C A A g A 7 K 5 t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y u b V I o i k e 4 D g A A A B E A A A A T A B w A R m 9 y b X V s Y X M v U 2 V j d G l v b j E u b S C i G A A o o B Q A A A A A A A A A A A A A A A A A A A A A A A A A A A A r T k 0 u y c z P U w i G 0 I b W A F B L A Q I t A B Q A A g A I A O y u b V K Z d + m d p w A A A P k A A A A S A A A A A A A A A A A A A A A A A A A A A A B D b 2 5 m a W c v U G F j a 2 F n Z S 5 4 b W x Q S w E C L Q A U A A I A C A D s r m 1 S D 8 r p q 6 Q A A A D p A A A A E w A A A A A A A A A A A A A A A A D z A A A A W 0 N v b n R l b n R f V H l w Z X N d L n h t b F B L A Q I t A B Q A A g A I A O y u b V I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x b q K K x 8 3 + S q / q S U F c a o x n A A A A A A I A A A A A A B B m A A A A A Q A A I A A A A A v 0 / G Y J 6 b 8 n r G c M B R 9 B Z B P G p y d j l P A H A x W 4 f M 8 + I i A d A A A A A A 6 A A A A A A g A A I A A A A H e e A 0 9 z N Q h Y 8 T 4 / E c 3 k E J T F c B 6 0 8 o R 1 L Q Z Y m w B v F D J v U A A A A N 0 r d H Q + f P h V Q d D u P m b 8 q 2 r Z c b f L 4 N p j U a J Y A + Z u c d x g V F i I u o q H I W b 0 Z j q h 0 C d e O U j t u L p C E a G u z w m F 6 P p D E s 3 t 1 N f y 0 r J R m w y s J K 1 W w T M W Q A A A A O l B h m V q J M y Z 6 2 l X l I 9 H G I o V L 2 O Z H P a q R L t d M a W U n C v P J L L d V F p Y e J i 9 w w 6 Y Z r p t r h J 2 t L t J v 6 I N H 6 u V l f a A L / c = < / D a t a M a s h u p > 
</file>

<file path=customXml/itemProps1.xml><?xml version="1.0" encoding="utf-8"?>
<ds:datastoreItem xmlns:ds="http://schemas.openxmlformats.org/officeDocument/2006/customXml" ds:itemID="{CB1728A5-76FB-4870-88B9-EF2944CB8629}">
  <ds:schemaRefs>
    <ds:schemaRef ds:uri="http://www.w3.org/2001/XMLSchema"/>
    <ds:schemaRef ds:uri="http://microsoft.data.visualization.engine.tours/1.0"/>
  </ds:schemaRefs>
</ds:datastoreItem>
</file>

<file path=customXml/itemProps2.xml><?xml version="1.0" encoding="utf-8"?>
<ds:datastoreItem xmlns:ds="http://schemas.openxmlformats.org/officeDocument/2006/customXml" ds:itemID="{D6440980-27F6-4A59-A87F-851347C95793}">
  <ds:schemaRefs>
    <ds:schemaRef ds:uri="http://www.w3.org/2001/XMLSchema"/>
    <ds:schemaRef ds:uri="http://microsoft.data.visualization.Client.Excel/1.0"/>
  </ds:schemaRefs>
</ds:datastoreItem>
</file>

<file path=customXml/itemProps3.xml><?xml version="1.0" encoding="utf-8"?>
<ds:datastoreItem xmlns:ds="http://schemas.openxmlformats.org/officeDocument/2006/customXml" ds:itemID="{00A28D67-DF39-4D4A-BB63-F7239D83141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Allg.toleranzen DIN ISO 2768</vt:lpstr>
      <vt:lpstr>Tabelle Passungen (Rafau)</vt:lpstr>
      <vt:lpstr>Grundtoleranzen</vt:lpstr>
      <vt:lpstr>Berechnungstabelle</vt:lpstr>
      <vt:lpstr>D</vt:lpstr>
      <vt:lpstr>E</vt:lpstr>
      <vt:lpstr>JS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2024-08-08T10:58:51Z</dcterms:modified>
</cp:coreProperties>
</file>