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23f7366d880c769/Desktop/Website/Berechnungen/"/>
    </mc:Choice>
  </mc:AlternateContent>
  <xr:revisionPtr revIDLastSave="335" documentId="8_{E010E363-0FF0-4357-BABA-989FD20FBFEC}" xr6:coauthVersionLast="47" xr6:coauthVersionMax="47" xr10:uidLastSave="{E22F2366-8D83-4EF9-BF29-E6223551BCDA}"/>
  <bookViews>
    <workbookView xWindow="-120" yWindow="-120" windowWidth="29040" windowHeight="15720" xr2:uid="{00000000-000D-0000-FFFF-FFFF00000000}"/>
  </bookViews>
  <sheets>
    <sheet name="Stift" sheetId="8" r:id="rId1"/>
    <sheet name="Daten" sheetId="10" state="hidden" r:id="rId2"/>
    <sheet name="Settings" sheetId="11" state="hidden" r:id="rId3"/>
  </sheets>
  <definedNames>
    <definedName name="Baustahl_S235">#REF!</definedName>
    <definedName name="Baustahl_S35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8" l="1"/>
  <c r="D21" i="8" l="1"/>
  <c r="D23" i="8" l="1"/>
  <c r="D22" i="8"/>
  <c r="AD24" i="8"/>
  <c r="AN14" i="8"/>
  <c r="AD14" i="8"/>
  <c r="J40" i="11"/>
  <c r="R37" i="11"/>
  <c r="L37" i="11"/>
  <c r="K37" i="11"/>
  <c r="L35" i="11"/>
  <c r="K35" i="11"/>
  <c r="L33" i="11"/>
  <c r="N24" i="11" s="1"/>
  <c r="K33" i="11"/>
  <c r="N25" i="11" s="1"/>
  <c r="L31" i="11"/>
  <c r="K31" i="11"/>
  <c r="N27" i="11"/>
  <c r="L27" i="11"/>
  <c r="L28" i="11" s="1"/>
  <c r="D27" i="11"/>
  <c r="D28" i="11" s="1"/>
  <c r="F24" i="11"/>
  <c r="N23" i="11"/>
  <c r="L23" i="11"/>
  <c r="L24" i="11" s="1"/>
  <c r="D23" i="11"/>
  <c r="D24" i="11" s="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M8" i="11"/>
  <c r="L8" i="11"/>
  <c r="K8" i="11"/>
  <c r="J8" i="11"/>
  <c r="I8" i="11"/>
  <c r="H8" i="11"/>
  <c r="G8" i="11"/>
  <c r="F8" i="11"/>
  <c r="E8" i="11"/>
  <c r="D8" i="11"/>
  <c r="C8" i="11"/>
  <c r="B8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M7" i="11"/>
  <c r="L7" i="11"/>
  <c r="K7" i="11"/>
  <c r="J7" i="11"/>
  <c r="I7" i="11"/>
  <c r="H7" i="11"/>
  <c r="G7" i="11"/>
  <c r="F7" i="11"/>
  <c r="E7" i="11"/>
  <c r="D7" i="11"/>
  <c r="C7" i="11"/>
  <c r="B7" i="11"/>
  <c r="AN6" i="11"/>
  <c r="AM6" i="11"/>
  <c r="AL6" i="11"/>
  <c r="AK6" i="11"/>
  <c r="AJ6" i="11"/>
  <c r="AI6" i="11"/>
  <c r="AH6" i="11"/>
  <c r="AG6" i="11"/>
  <c r="AF6" i="11"/>
  <c r="AE6" i="11"/>
  <c r="AV8" i="11" s="1" a="1"/>
  <c r="AV8" i="11" s="1"/>
  <c r="AD6" i="11"/>
  <c r="AC6" i="11"/>
  <c r="AB6" i="11"/>
  <c r="AA6" i="11"/>
  <c r="Z6" i="11"/>
  <c r="Y6" i="11"/>
  <c r="X6" i="11"/>
  <c r="W6" i="11"/>
  <c r="V6" i="11"/>
  <c r="U6" i="11"/>
  <c r="T6" i="11"/>
  <c r="S6" i="11"/>
  <c r="M6" i="11"/>
  <c r="L6" i="11"/>
  <c r="K6" i="11"/>
  <c r="J6" i="11"/>
  <c r="I6" i="11"/>
  <c r="H6" i="11"/>
  <c r="G6" i="11"/>
  <c r="F6" i="11"/>
  <c r="E6" i="11"/>
  <c r="D6" i="11"/>
  <c r="C6" i="11"/>
  <c r="B6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M5" i="11"/>
  <c r="L5" i="11"/>
  <c r="K5" i="11"/>
  <c r="J5" i="11"/>
  <c r="I5" i="11"/>
  <c r="H5" i="11"/>
  <c r="G5" i="11"/>
  <c r="F5" i="11"/>
  <c r="E5" i="11"/>
  <c r="D5" i="11"/>
  <c r="C5" i="11"/>
  <c r="B5" i="11"/>
  <c r="AX4" i="11"/>
  <c r="AW4" i="11"/>
  <c r="AV14" i="11" s="1" a="1"/>
  <c r="AV14" i="11" s="1"/>
  <c r="AV4" i="11"/>
  <c r="AW14" i="11" s="1" a="1"/>
  <c r="AW14" i="11" s="1"/>
  <c r="AS4" i="11"/>
  <c r="AR4" i="11"/>
  <c r="AP8" i="11" s="1" a="1"/>
  <c r="AP8" i="11" s="1"/>
  <c r="E2" i="11"/>
  <c r="D2" i="11"/>
  <c r="O5" i="11" s="1" a="1"/>
  <c r="O5" i="11" s="1"/>
  <c r="C2" i="11"/>
  <c r="AQ4" i="11" s="1"/>
  <c r="F27" i="11"/>
  <c r="Z24" i="8"/>
  <c r="AJ14" i="8"/>
  <c r="S22" i="8"/>
  <c r="S20" i="8"/>
  <c r="S19" i="8"/>
  <c r="S18" i="8"/>
  <c r="S13" i="8"/>
  <c r="S12" i="8"/>
  <c r="S11" i="8"/>
  <c r="AU14" i="11" l="1" a="1"/>
  <c r="AU14" i="11" s="1"/>
  <c r="AU8" i="11" a="1"/>
  <c r="AU8" i="11" s="1"/>
  <c r="AP14" i="11" a="1"/>
  <c r="AP14" i="11" s="1"/>
  <c r="N34" i="11"/>
  <c r="N35" i="11" s="1"/>
  <c r="AQ14" i="11" a="1"/>
  <c r="AQ14" i="11" s="1"/>
  <c r="N31" i="11"/>
  <c r="N30" i="11"/>
  <c r="AD11" i="8"/>
  <c r="K21" i="8" s="1"/>
  <c r="AN11" i="8"/>
  <c r="K22" i="8" s="1"/>
  <c r="AD21" i="8"/>
  <c r="K23" i="8" s="1"/>
  <c r="AW8" i="11" a="1"/>
  <c r="AW8" i="11" s="1"/>
  <c r="AX8" i="11" s="1"/>
  <c r="N32" i="11"/>
  <c r="R40" i="11"/>
  <c r="N26" i="11"/>
  <c r="P15" i="11" a="1"/>
  <c r="P15" i="11" s="1"/>
  <c r="AR14" i="11" a="1"/>
  <c r="AR14" i="11" s="1"/>
  <c r="L40" i="11"/>
  <c r="AQ8" i="11" a="1"/>
  <c r="AQ8" i="11" s="1"/>
  <c r="AR8" i="11" s="1" a="1"/>
  <c r="AR8" i="11" s="1"/>
  <c r="AS8" i="11" s="1"/>
  <c r="O10" i="11" a="1"/>
  <c r="O10" i="11" s="1"/>
  <c r="P10" i="11" s="1" a="1"/>
  <c r="P10" i="11" s="1"/>
  <c r="N15" i="11" a="1"/>
  <c r="N15" i="11" s="1"/>
  <c r="K39" i="11"/>
  <c r="L39" i="11"/>
  <c r="O15" i="11" a="1"/>
  <c r="O15" i="11" s="1"/>
  <c r="N5" i="11" a="1"/>
  <c r="N5" i="11" s="1"/>
  <c r="N10" i="11" a="1"/>
  <c r="N10" i="11" s="1"/>
  <c r="P5" i="11" a="1"/>
  <c r="P5" i="11" s="1"/>
  <c r="Q5" i="11" s="1"/>
  <c r="AX14" i="11" l="1"/>
  <c r="N33" i="11"/>
  <c r="N29" i="11"/>
  <c r="F28" i="11"/>
  <c r="AS14" i="11"/>
  <c r="N28" i="11"/>
  <c r="Q10" i="11"/>
  <c r="F25" i="1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<sst xmlns="http://schemas.openxmlformats.org/spreadsheetml/2006/main" count="444" uniqueCount="103">
  <si>
    <t>schwellend</t>
  </si>
  <si>
    <t>TB 1-1</t>
  </si>
  <si>
    <t>Eingabefeder für die Berechnung</t>
  </si>
  <si>
    <t>S235</t>
  </si>
  <si>
    <t>TB 3-4c</t>
  </si>
  <si>
    <t>Flächenpressung in der Nabenbohrung</t>
  </si>
  <si>
    <t>Stiftdurchmesser für Entwurf</t>
  </si>
  <si>
    <t>Nabenwand für Entwurf</t>
  </si>
  <si>
    <t>St- und Gs-Naben</t>
  </si>
  <si>
    <t>GJL-Naben</t>
  </si>
  <si>
    <t>Flächenpressung in der Wellenbohrung</t>
  </si>
  <si>
    <t>𝜏ws=</t>
  </si>
  <si>
    <t>σwzul=</t>
  </si>
  <si>
    <t>𝜏wzul=</t>
  </si>
  <si>
    <t>M=</t>
  </si>
  <si>
    <t>Wwx=</t>
  </si>
  <si>
    <t>σ⊥b=</t>
  </si>
  <si>
    <t>𝜏∥a=</t>
  </si>
  <si>
    <t>σ⊥d/z=</t>
  </si>
  <si>
    <t>S355</t>
  </si>
  <si>
    <t>F1</t>
  </si>
  <si>
    <t>H</t>
  </si>
  <si>
    <t>σzd=</t>
  </si>
  <si>
    <t>σv=</t>
  </si>
  <si>
    <t>σzul=</t>
  </si>
  <si>
    <t>Wx=</t>
  </si>
  <si>
    <t>σb=</t>
  </si>
  <si>
    <t>𝜏a=</t>
  </si>
  <si>
    <t>für Bauteile aus S235</t>
  </si>
  <si>
    <t>σwzul, σzul</t>
  </si>
  <si>
    <t>für Bauteile aus S355</t>
  </si>
  <si>
    <t>𝜏wzul, 𝜏zul</t>
  </si>
  <si>
    <t>ϰ - Kappa</t>
  </si>
  <si>
    <t>Linie</t>
  </si>
  <si>
    <t>N/mm²</t>
  </si>
  <si>
    <t>Bereich</t>
  </si>
  <si>
    <t>F2</t>
  </si>
  <si>
    <t>Wechsel</t>
  </si>
  <si>
    <t>H-</t>
  </si>
  <si>
    <t>Schwell</t>
  </si>
  <si>
    <t>H+</t>
  </si>
  <si>
    <t>E6</t>
  </si>
  <si>
    <t>G-</t>
  </si>
  <si>
    <t>E5</t>
  </si>
  <si>
    <t>G</t>
  </si>
  <si>
    <t>G+</t>
  </si>
  <si>
    <t>E4</t>
  </si>
  <si>
    <t>E1</t>
  </si>
  <si>
    <t>D</t>
  </si>
  <si>
    <t>C</t>
  </si>
  <si>
    <t>B</t>
  </si>
  <si>
    <t>AB</t>
  </si>
  <si>
    <t xml:space="preserve">A </t>
  </si>
  <si>
    <t>A</t>
  </si>
  <si>
    <t>Auswahl</t>
  </si>
  <si>
    <t>Filter</t>
  </si>
  <si>
    <t>Kehlnaht auf Schub, Bauteil auf Zug/Druck</t>
  </si>
  <si>
    <t>Spannungsnachweis: Naht</t>
  </si>
  <si>
    <t>Kehlnaht auf Biegung und Schub</t>
  </si>
  <si>
    <t>Bauteildicke</t>
  </si>
  <si>
    <t>Dickenbeiwert</t>
  </si>
  <si>
    <t>Spannungsnachweis: Bauteil</t>
  </si>
  <si>
    <t>Rechteck</t>
  </si>
  <si>
    <t>Wwx</t>
  </si>
  <si>
    <t>Wx</t>
  </si>
  <si>
    <t>Kreis</t>
  </si>
  <si>
    <t>σwv=</t>
  </si>
  <si>
    <t>𝜏a</t>
  </si>
  <si>
    <t>σ⊥=</t>
  </si>
  <si>
    <t>Nein</t>
  </si>
  <si>
    <t>TB 3-10a</t>
  </si>
  <si>
    <t>Scherspannung im Stift</t>
  </si>
  <si>
    <t>Legende</t>
  </si>
  <si>
    <t>Eingabefeld</t>
  </si>
  <si>
    <t>errechneter Wert</t>
  </si>
  <si>
    <t>Ersteller: R. Piechota</t>
  </si>
  <si>
    <t>Querstiftberechnung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</si>
  <si>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max 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</si>
  <si>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gemittelt 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</si>
  <si>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min </t>
    </r>
    <r>
      <rPr>
        <sz val="11"/>
        <color theme="1"/>
        <rFont val="Calibri"/>
        <family val="2"/>
        <scheme val="minor"/>
      </rPr>
      <t>=</t>
    </r>
  </si>
  <si>
    <r>
      <t>s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</si>
  <si>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1"/>
        <color theme="1"/>
        <rFont val="Calibri"/>
        <family val="2"/>
        <scheme val="minor"/>
      </rPr>
      <t>gemittelt</t>
    </r>
    <r>
      <rPr>
        <sz val="11"/>
        <color theme="1"/>
        <rFont val="Calibri"/>
        <family val="2"/>
        <scheme val="minor"/>
      </rPr>
      <t xml:space="preserve"> =</t>
    </r>
  </si>
  <si>
    <t>s =</t>
  </si>
  <si>
    <t>Gl (9.15)</t>
  </si>
  <si>
    <t>Gl (9.17)</t>
  </si>
  <si>
    <t>Gl (9.16)</t>
  </si>
  <si>
    <t xml:space="preserve">Stiftdurchmesser d </t>
  </si>
  <si>
    <r>
      <t>Anwendungsfaktor 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  </t>
    </r>
  </si>
  <si>
    <r>
      <t>Welle R</t>
    </r>
    <r>
      <rPr>
        <vertAlign val="subscript"/>
        <sz val="11"/>
        <color theme="1"/>
        <rFont val="Calibri"/>
        <family val="2"/>
        <scheme val="minor"/>
      </rPr>
      <t xml:space="preserve">m   </t>
    </r>
  </si>
  <si>
    <r>
      <t>Nabe R</t>
    </r>
    <r>
      <rPr>
        <vertAlign val="subscript"/>
        <sz val="11"/>
        <color theme="1"/>
        <rFont val="Calibri"/>
        <family val="2"/>
        <scheme val="minor"/>
      </rPr>
      <t xml:space="preserve">m  </t>
    </r>
  </si>
  <si>
    <t xml:space="preserve">Belastungsart </t>
  </si>
  <si>
    <t xml:space="preserve">Kerbstift </t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</si>
  <si>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nenn </t>
    </r>
  </si>
  <si>
    <t xml:space="preserve">Dicke der Nabenwand s </t>
  </si>
  <si>
    <r>
      <t>s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=</t>
    </r>
  </si>
  <si>
    <t>Vorgabe Konstrukteur</t>
  </si>
  <si>
    <t>Vorschlag (siehe r.)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</si>
  <si>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</si>
  <si>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</si>
  <si>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</si>
  <si>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Wellendurchmesser d</t>
    </r>
    <r>
      <rPr>
        <vertAlign val="subscript"/>
        <sz val="11"/>
        <color theme="1"/>
        <rFont val="Calibri"/>
        <family val="2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  </t>
    </r>
  </si>
  <si>
    <r>
      <t>Stift R</t>
    </r>
    <r>
      <rPr>
        <vertAlign val="subscript"/>
        <sz val="11"/>
        <color theme="1"/>
        <rFont val="Calibri"/>
        <family val="2"/>
        <scheme val="minor"/>
      </rPr>
      <t xml:space="preserve">m   </t>
    </r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</si>
  <si>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t  </t>
    </r>
    <r>
      <rPr>
        <vertAlign val="subscript"/>
        <sz val="11"/>
        <color theme="1"/>
        <rFont val="Aptos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</si>
</sst>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\ &quot;mm&quot;"/>
    <numFmt numFmtId="165" formatCode="0.00\ &quot;N/mm²&quot;"/>
    <numFmt numFmtId="166" formatCode="0.00\ &quot;Nmm&quot;"/>
    <numFmt numFmtId="167" formatCode="0.00\ &quot;mm²&quot;"/>
    <numFmt numFmtId="168" formatCode="0.00\ &quot;*10³ N/mm²&quot;"/>
    <numFmt numFmtId="169" formatCode="0.00\ &quot;*10³ mm³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rgb="FFE26F0E"/>
      <name val="Arial"/>
      <family val="2"/>
    </font>
    <font>
      <b/>
      <sz val="11"/>
      <name val="Calibri"/>
      <family val="2"/>
      <scheme val="minor"/>
    </font>
    <font>
      <b/>
      <sz val="11"/>
      <color rgb="FFE26F0E"/>
      <name val="Calibri"/>
      <family val="2"/>
      <scheme val="minor"/>
    </font>
    <font>
      <sz val="11"/>
      <color theme="1"/>
      <name val="Aptos Narrow"/>
      <family val="2"/>
    </font>
    <font>
      <vertAlign val="subscript"/>
      <sz val="11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26F0E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0" xfId="0" applyFill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3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1" fillId="3" borderId="14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5" borderId="13" xfId="0" applyFill="1" applyBorder="1"/>
    <xf numFmtId="0" fontId="4" fillId="8" borderId="30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7" borderId="0" xfId="0" applyFill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5" borderId="5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169" fontId="0" fillId="6" borderId="9" xfId="0" applyNumberFormat="1" applyFill="1" applyBorder="1" applyAlignment="1">
      <alignment horizontal="center" vertical="center"/>
    </xf>
    <xf numFmtId="169" fontId="0" fillId="6" borderId="2" xfId="0" applyNumberFormat="1" applyFill="1" applyBorder="1" applyAlignment="1">
      <alignment horizontal="center" vertical="center"/>
    </xf>
    <xf numFmtId="169" fontId="0" fillId="6" borderId="10" xfId="0" applyNumberFormat="1" applyFill="1" applyBorder="1" applyAlignment="1">
      <alignment horizontal="center" vertical="center"/>
    </xf>
    <xf numFmtId="165" fontId="0" fillId="6" borderId="2" xfId="0" applyNumberFormat="1" applyFill="1" applyBorder="1"/>
    <xf numFmtId="167" fontId="0" fillId="6" borderId="20" xfId="0" applyNumberFormat="1" applyFill="1" applyBorder="1" applyProtection="1">
      <protection locked="0"/>
    </xf>
    <xf numFmtId="167" fontId="1" fillId="4" borderId="5" xfId="0" applyNumberFormat="1" applyFont="1" applyFill="1" applyBorder="1"/>
    <xf numFmtId="0" fontId="3" fillId="4" borderId="37" xfId="0" applyFont="1" applyFill="1" applyBorder="1"/>
    <xf numFmtId="0" fontId="3" fillId="0" borderId="36" xfId="0" applyFont="1" applyBorder="1"/>
    <xf numFmtId="0" fontId="3" fillId="0" borderId="18" xfId="0" applyFont="1" applyBorder="1"/>
    <xf numFmtId="0" fontId="3" fillId="11" borderId="37" xfId="0" applyFont="1" applyFill="1" applyBorder="1"/>
    <xf numFmtId="0" fontId="3" fillId="4" borderId="0" xfId="0" applyFont="1" applyFill="1"/>
    <xf numFmtId="0" fontId="6" fillId="10" borderId="17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5" fontId="0" fillId="6" borderId="34" xfId="0" applyNumberForma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168" fontId="0" fillId="6" borderId="2" xfId="0" applyNumberFormat="1" applyFill="1" applyBorder="1" applyAlignment="1">
      <alignment horizontal="center"/>
    </xf>
    <xf numFmtId="168" fontId="0" fillId="6" borderId="34" xfId="0" applyNumberFormat="1" applyFill="1" applyBorder="1" applyAlignment="1">
      <alignment horizontal="center"/>
    </xf>
    <xf numFmtId="169" fontId="0" fillId="6" borderId="9" xfId="0" applyNumberFormat="1" applyFill="1" applyBorder="1" applyAlignment="1">
      <alignment horizontal="center"/>
    </xf>
    <xf numFmtId="169" fontId="0" fillId="6" borderId="10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6" borderId="20" xfId="0" applyNumberFormat="1" applyFill="1" applyBorder="1" applyAlignment="1">
      <alignment horizontal="center"/>
    </xf>
    <xf numFmtId="165" fontId="0" fillId="6" borderId="19" xfId="0" applyNumberFormat="1" applyFill="1" applyBorder="1" applyAlignment="1">
      <alignment horizontal="center"/>
    </xf>
    <xf numFmtId="0" fontId="8" fillId="0" borderId="0" xfId="0" applyFont="1"/>
    <xf numFmtId="0" fontId="0" fillId="11" borderId="0" xfId="0" applyFill="1"/>
    <xf numFmtId="0" fontId="0" fillId="11" borderId="4" xfId="0" applyFill="1" applyBorder="1"/>
    <xf numFmtId="0" fontId="0" fillId="10" borderId="20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1" fillId="10" borderId="1" xfId="0" applyFont="1" applyFill="1" applyBorder="1" applyAlignment="1">
      <alignment horizontal="right"/>
    </xf>
    <xf numFmtId="0" fontId="0" fillId="11" borderId="5" xfId="0" applyFill="1" applyBorder="1"/>
    <xf numFmtId="0" fontId="0" fillId="11" borderId="8" xfId="0" applyFill="1" applyBorder="1"/>
    <xf numFmtId="0" fontId="0" fillId="11" borderId="7" xfId="0" applyFill="1" applyBorder="1"/>
    <xf numFmtId="0" fontId="0" fillId="11" borderId="6" xfId="0" applyFill="1" applyBorder="1"/>
    <xf numFmtId="0" fontId="1" fillId="10" borderId="17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0" fillId="10" borderId="14" xfId="0" applyFill="1" applyBorder="1" applyAlignment="1">
      <alignment horizontal="right"/>
    </xf>
    <xf numFmtId="0" fontId="0" fillId="10" borderId="16" xfId="0" applyFill="1" applyBorder="1" applyAlignment="1">
      <alignment horizontal="right"/>
    </xf>
    <xf numFmtId="0" fontId="0" fillId="10" borderId="16" xfId="0" applyFill="1" applyBorder="1" applyAlignment="1">
      <alignment horizontal="right"/>
    </xf>
    <xf numFmtId="0" fontId="0" fillId="10" borderId="16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4" xfId="0" applyFill="1" applyBorder="1" applyAlignment="1">
      <alignment horizontal="right"/>
    </xf>
    <xf numFmtId="0" fontId="0" fillId="10" borderId="38" xfId="0" applyFill="1" applyBorder="1" applyAlignment="1">
      <alignment horizontal="right"/>
    </xf>
    <xf numFmtId="0" fontId="0" fillId="11" borderId="0" xfId="0" applyFill="1" applyBorder="1"/>
    <xf numFmtId="0" fontId="0" fillId="10" borderId="39" xfId="0" applyFill="1" applyBorder="1" applyAlignment="1">
      <alignment horizontal="right"/>
    </xf>
    <xf numFmtId="0" fontId="0" fillId="10" borderId="39" xfId="0" applyFill="1" applyBorder="1" applyAlignment="1">
      <alignment horizontal="right"/>
    </xf>
    <xf numFmtId="0" fontId="0" fillId="10" borderId="40" xfId="0" applyFill="1" applyBorder="1" applyAlignment="1">
      <alignment horizontal="right"/>
    </xf>
    <xf numFmtId="0" fontId="0" fillId="10" borderId="41" xfId="0" applyFill="1" applyBorder="1" applyAlignment="1">
      <alignment horizontal="right"/>
    </xf>
    <xf numFmtId="0" fontId="0" fillId="11" borderId="2" xfId="0" applyFill="1" applyBorder="1"/>
    <xf numFmtId="0" fontId="0" fillId="11" borderId="42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1" borderId="0" xfId="0" applyFill="1" applyBorder="1" applyAlignment="1">
      <alignment horizontal="left"/>
    </xf>
    <xf numFmtId="0" fontId="0" fillId="10" borderId="6" xfId="0" applyFill="1" applyBorder="1"/>
    <xf numFmtId="0" fontId="0" fillId="10" borderId="8" xfId="0" applyFill="1" applyBorder="1"/>
    <xf numFmtId="0" fontId="0" fillId="11" borderId="22" xfId="0" applyFill="1" applyBorder="1"/>
    <xf numFmtId="164" fontId="0" fillId="11" borderId="0" xfId="0" applyNumberFormat="1" applyFill="1" applyBorder="1" applyAlignment="1">
      <alignment horizontal="center"/>
    </xf>
    <xf numFmtId="164" fontId="0" fillId="11" borderId="23" xfId="0" applyNumberFormat="1" applyFill="1" applyBorder="1" applyAlignment="1">
      <alignment horizontal="center"/>
    </xf>
    <xf numFmtId="0" fontId="0" fillId="11" borderId="24" xfId="0" applyFill="1" applyBorder="1"/>
    <xf numFmtId="0" fontId="0" fillId="11" borderId="14" xfId="0" applyFill="1" applyBorder="1"/>
    <xf numFmtId="164" fontId="0" fillId="11" borderId="14" xfId="0" applyNumberFormat="1" applyFill="1" applyBorder="1" applyAlignment="1">
      <alignment horizontal="center"/>
    </xf>
    <xf numFmtId="164" fontId="0" fillId="11" borderId="25" xfId="0" applyNumberFormat="1" applyFill="1" applyBorder="1" applyAlignment="1">
      <alignment horizontal="center"/>
    </xf>
    <xf numFmtId="0" fontId="0" fillId="11" borderId="16" xfId="0" applyFill="1" applyBorder="1"/>
    <xf numFmtId="164" fontId="0" fillId="11" borderId="16" xfId="0" applyNumberFormat="1" applyFill="1" applyBorder="1" applyAlignment="1">
      <alignment horizontal="center"/>
    </xf>
    <xf numFmtId="164" fontId="0" fillId="11" borderId="3" xfId="0" applyNumberFormat="1" applyFill="1" applyBorder="1" applyAlignment="1">
      <alignment horizontal="center"/>
    </xf>
    <xf numFmtId="166" fontId="0" fillId="4" borderId="43" xfId="0" applyNumberFormat="1" applyFill="1" applyBorder="1" applyAlignment="1" applyProtection="1">
      <alignment horizontal="center"/>
      <protection locked="0"/>
    </xf>
    <xf numFmtId="166" fontId="0" fillId="4" borderId="44" xfId="0" applyNumberFormat="1" applyFill="1" applyBorder="1" applyAlignment="1" applyProtection="1">
      <alignment horizontal="center"/>
      <protection locked="0"/>
    </xf>
    <xf numFmtId="166" fontId="0" fillId="4" borderId="45" xfId="0" applyNumberFormat="1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164" fontId="0" fillId="4" borderId="4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47" xfId="0" applyNumberFormat="1" applyFill="1" applyBorder="1" applyAlignment="1" applyProtection="1">
      <alignment horizontal="center"/>
      <protection locked="0"/>
    </xf>
    <xf numFmtId="165" fontId="0" fillId="4" borderId="46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165" fontId="0" fillId="4" borderId="47" xfId="0" applyNumberFormat="1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0" fontId="0" fillId="10" borderId="7" xfId="0" applyFill="1" applyBorder="1"/>
    <xf numFmtId="0" fontId="0" fillId="10" borderId="0" xfId="0" applyFill="1" applyBorder="1"/>
    <xf numFmtId="0" fontId="9" fillId="10" borderId="1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10" fillId="11" borderId="0" xfId="0" applyFont="1" applyFill="1" applyBorder="1" applyAlignment="1">
      <alignment horizontal="left" vertical="center"/>
    </xf>
    <xf numFmtId="0" fontId="10" fillId="11" borderId="0" xfId="0" applyFont="1" applyFill="1" applyBorder="1" applyAlignment="1">
      <alignment horizontal="left"/>
    </xf>
    <xf numFmtId="0" fontId="10" fillId="4" borderId="6" xfId="0" applyFont="1" applyFill="1" applyBorder="1"/>
    <xf numFmtId="165" fontId="1" fillId="11" borderId="0" xfId="0" applyNumberFormat="1" applyFont="1" applyFill="1" applyAlignment="1">
      <alignment horizontal="center"/>
    </xf>
    <xf numFmtId="165" fontId="0" fillId="11" borderId="5" xfId="0" applyNumberFormat="1" applyFill="1" applyBorder="1"/>
    <xf numFmtId="165" fontId="1" fillId="11" borderId="0" xfId="0" applyNumberFormat="1" applyFont="1" applyFill="1" applyAlignment="1">
      <alignment horizontal="center" vertical="center"/>
    </xf>
    <xf numFmtId="0" fontId="0" fillId="11" borderId="22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3" fillId="10" borderId="12" xfId="0" applyFont="1" applyFill="1" applyBorder="1"/>
    <xf numFmtId="0" fontId="11" fillId="10" borderId="4" xfId="0" applyFont="1" applyFill="1" applyBorder="1"/>
    <xf numFmtId="0" fontId="3" fillId="10" borderId="7" xfId="0" applyFont="1" applyFill="1" applyBorder="1"/>
    <xf numFmtId="0" fontId="3" fillId="10" borderId="0" xfId="0" applyFont="1" applyFill="1" applyBorder="1"/>
  </cellXfs>
  <cellStyles count="1"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257175</xdr:colOff>
      <xdr:row>9</xdr:row>
      <xdr:rowOff>128587</xdr:rowOff>
    </xdr:from>
    <xdr:ext cx="1511568" cy="3408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3E831BB9-4E04-AB47-32EB-6A230B89957D}"/>
                </a:ext>
              </a:extLst>
            </xdr:cNvPr>
            <xdr:cNvSpPr txBox="1"/>
          </xdr:nvSpPr>
          <xdr:spPr>
            <a:xfrm>
              <a:off x="9001125" y="2100262"/>
              <a:ext cx="1511568" cy="340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</a:rPr>
                      <m:t>𝑝</m:t>
                    </m:r>
                    <m:r>
                      <m:rPr>
                        <m:sty m:val="p"/>
                      </m:rPr>
                      <a:rPr lang="de-DE" sz="1100" i="0" baseline="-25000">
                        <a:latin typeface="Cambria Math" panose="02040503050406030204" pitchFamily="18" charset="0"/>
                      </a:rPr>
                      <m:t>N</m:t>
                    </m:r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sub>
                        </m:sSub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⦁</m:t>
                        </m:r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m:rPr>
                            <m:sty m:val="p"/>
                          </m:rPr>
                          <a:rPr lang="de-DE" sz="1100" i="0" baseline="-2500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m:rPr>
                            <m:sty m:val="p"/>
                          </m:rPr>
                          <a:rPr lang="de-DE" sz="1100" b="0" i="0" baseline="-25000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m:rPr>
                            <m:sty m:val="p"/>
                          </m:rPr>
                          <a:rPr lang="de-DE" sz="1100" i="0" baseline="-25000">
                            <a:latin typeface="Cambria Math" panose="02040503050406030204" pitchFamily="18" charset="0"/>
                          </a:rPr>
                          <m:t>nn</m:t>
                        </m:r>
                      </m:num>
                      <m:den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⦁</m:t>
                        </m:r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⦁</m:t>
                        </m:r>
                        <m:d>
                          <m:dPr>
                            <m:ctrlPr>
                              <a:rPr lang="de-D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ⅆ</m:t>
                            </m:r>
                            <m:r>
                              <m:rPr>
                                <m:sty m:val="p"/>
                              </m:rPr>
                              <a:rPr lang="de-DE" sz="1100" i="0" baseline="-25000">
                                <a:latin typeface="Cambria Math" panose="02040503050406030204" pitchFamily="18" charset="0"/>
                              </a:rPr>
                              <m:t>w</m:t>
                            </m:r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</m:d>
                      </m:den>
                    </m:f>
                    <m:r>
                      <a:rPr lang="de-DE" sz="1100" i="1">
                        <a:latin typeface="Cambria Math" panose="02040503050406030204" pitchFamily="18" charset="0"/>
                      </a:rPr>
                      <m:t>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m:rPr>
                        <m:sty m:val="p"/>
                      </m:rPr>
                      <a:rPr lang="de-DE" sz="1100" i="0" baseline="-25000">
                        <a:latin typeface="Cambria Math" panose="02040503050406030204" pitchFamily="18" charset="0"/>
                      </a:rPr>
                      <m:t>zul</m:t>
                    </m:r>
                  </m:oMath>
                </m:oMathPara>
              </a14:m>
              <a:endParaRPr lang="de-DE" sz="1100" i="0" baseline="-25000"/>
            </a:p>
          </xdr:txBody>
        </xdr:sp>
      </mc:Choice>
      <mc:Fallback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3E831BB9-4E04-AB47-32EB-6A230B89957D}"/>
                </a:ext>
              </a:extLst>
            </xdr:cNvPr>
            <xdr:cNvSpPr txBox="1"/>
          </xdr:nvSpPr>
          <xdr:spPr>
            <a:xfrm>
              <a:off x="9001125" y="2100262"/>
              <a:ext cx="1511568" cy="340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𝑝</a:t>
              </a:r>
              <a:r>
                <a:rPr lang="de-DE" sz="1100" i="0" baseline="-25000">
                  <a:latin typeface="Cambria Math" panose="02040503050406030204" pitchFamily="18" charset="0"/>
                </a:rPr>
                <a:t>N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de-DE" sz="1100" i="0">
                  <a:latin typeface="Cambria Math" panose="02040503050406030204" pitchFamily="18" charset="0"/>
                </a:rPr>
                <a:t>𝐾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de-D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A</a:t>
              </a:r>
              <a:r>
                <a:rPr lang="de-DE" sz="1100" i="0">
                  <a:latin typeface="Cambria Math" panose="02040503050406030204" pitchFamily="18" charset="0"/>
                </a:rPr>
                <a:t>⦁𝑇</a:t>
              </a:r>
              <a:r>
                <a:rPr lang="de-DE" sz="1100" i="0" baseline="-25000">
                  <a:latin typeface="Cambria Math" panose="02040503050406030204" pitchFamily="18" charset="0"/>
                </a:rPr>
                <a:t>n</a:t>
              </a:r>
              <a:r>
                <a:rPr lang="de-DE" sz="1100" b="0" i="0" baseline="-25000">
                  <a:latin typeface="Cambria Math" panose="02040503050406030204" pitchFamily="18" charset="0"/>
                </a:rPr>
                <a:t>e</a:t>
              </a:r>
              <a:r>
                <a:rPr lang="de-DE" sz="1100" i="0" baseline="-25000">
                  <a:latin typeface="Cambria Math" panose="02040503050406030204" pitchFamily="18" charset="0"/>
                </a:rPr>
                <a:t>nn</a:t>
              </a:r>
              <a:r>
                <a:rPr lang="de-DE" sz="1100" i="0" baseline="-2500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de-DE" sz="1100" i="0">
                  <a:latin typeface="Cambria Math" panose="02040503050406030204" pitchFamily="18" charset="0"/>
                </a:rPr>
                <a:t>𝑑⦁𝑠⦁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de-DE" sz="1100" i="0">
                  <a:latin typeface="Cambria Math" panose="02040503050406030204" pitchFamily="18" charset="0"/>
                </a:rPr>
                <a:t>ⅆ</a:t>
              </a:r>
              <a:r>
                <a:rPr lang="de-DE" sz="1100" i="0" baseline="-25000">
                  <a:latin typeface="Cambria Math" panose="02040503050406030204" pitchFamily="18" charset="0"/>
                </a:rPr>
                <a:t>w</a:t>
              </a:r>
              <a:r>
                <a:rPr lang="de-DE" sz="1100" i="0">
                  <a:latin typeface="Cambria Math" panose="02040503050406030204" pitchFamily="18" charset="0"/>
                </a:rPr>
                <a:t>+𝑠) 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de-DE" sz="1100" i="0">
                  <a:latin typeface="Cambria Math" panose="02040503050406030204" pitchFamily="18" charset="0"/>
                </a:rPr>
                <a:t>≤</a:t>
              </a:r>
              <a:r>
                <a:rPr lang="de-DE" sz="1100" b="0" i="0">
                  <a:latin typeface="Cambria Math" panose="02040503050406030204" pitchFamily="18" charset="0"/>
                </a:rPr>
                <a:t>𝑝</a:t>
              </a:r>
              <a:r>
                <a:rPr lang="de-DE" sz="1100" i="0" baseline="-25000">
                  <a:latin typeface="Cambria Math" panose="02040503050406030204" pitchFamily="18" charset="0"/>
                </a:rPr>
                <a:t>zul</a:t>
              </a:r>
              <a:endParaRPr lang="de-DE" sz="1100" i="0" baseline="-25000"/>
            </a:p>
          </xdr:txBody>
        </xdr:sp>
      </mc:Fallback>
    </mc:AlternateContent>
    <xdr:clientData/>
  </xdr:oneCellAnchor>
  <xdr:oneCellAnchor>
    <xdr:from>
      <xdr:col>23</xdr:col>
      <xdr:colOff>276225</xdr:colOff>
      <xdr:row>13</xdr:row>
      <xdr:rowOff>19050</xdr:rowOff>
    </xdr:from>
    <xdr:ext cx="32925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51149DBA-C680-4C06-A830-98D76CD8FC59}"/>
                </a:ext>
              </a:extLst>
            </xdr:cNvPr>
            <xdr:cNvSpPr txBox="1"/>
          </xdr:nvSpPr>
          <xdr:spPr>
            <a:xfrm>
              <a:off x="9020175" y="2924175"/>
              <a:ext cx="3292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1" i="1">
                        <a:latin typeface="Cambria Math" panose="02040503050406030204" pitchFamily="18" charset="0"/>
                      </a:rPr>
                      <m:t>𝒑</m:t>
                    </m:r>
                    <m:r>
                      <a:rPr lang="de-DE" sz="1100" b="1" i="0" baseline="-25000">
                        <a:latin typeface="Cambria Math" panose="02040503050406030204" pitchFamily="18" charset="0"/>
                      </a:rPr>
                      <m:t>𝐍</m:t>
                    </m:r>
                    <m:r>
                      <a:rPr lang="de-DE" sz="11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b="1"/>
            </a:p>
          </xdr:txBody>
        </xdr:sp>
      </mc:Choice>
      <mc:Fallback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51149DBA-C680-4C06-A830-98D76CD8FC59}"/>
                </a:ext>
              </a:extLst>
            </xdr:cNvPr>
            <xdr:cNvSpPr txBox="1"/>
          </xdr:nvSpPr>
          <xdr:spPr>
            <a:xfrm>
              <a:off x="9020175" y="2924175"/>
              <a:ext cx="3292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latin typeface="Cambria Math" panose="02040503050406030204" pitchFamily="18" charset="0"/>
                </a:rPr>
                <a:t>𝒑</a:t>
              </a:r>
              <a:r>
                <a:rPr lang="de-DE" sz="1100" b="1" i="0" baseline="-25000">
                  <a:latin typeface="Cambria Math" panose="02040503050406030204" pitchFamily="18" charset="0"/>
                </a:rPr>
                <a:t>𝐍</a:t>
              </a:r>
              <a:r>
                <a:rPr lang="de-DE" sz="1100" b="1" i="0">
                  <a:latin typeface="Cambria Math" panose="02040503050406030204" pitchFamily="18" charset="0"/>
                </a:rPr>
                <a:t>=</a:t>
              </a:r>
              <a:endParaRPr lang="de-DE" sz="1100" b="1"/>
            </a:p>
          </xdr:txBody>
        </xdr:sp>
      </mc:Fallback>
    </mc:AlternateContent>
    <xdr:clientData/>
  </xdr:oneCellAnchor>
  <xdr:oneCellAnchor>
    <xdr:from>
      <xdr:col>33</xdr:col>
      <xdr:colOff>257175</xdr:colOff>
      <xdr:row>9</xdr:row>
      <xdr:rowOff>128587</xdr:rowOff>
    </xdr:from>
    <xdr:ext cx="1512337" cy="3611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1DBC57B-940A-477B-827C-8270F1FA66AC}"/>
                </a:ext>
              </a:extLst>
            </xdr:cNvPr>
            <xdr:cNvSpPr txBox="1"/>
          </xdr:nvSpPr>
          <xdr:spPr>
            <a:xfrm>
              <a:off x="13687425" y="2100262"/>
              <a:ext cx="1512337" cy="361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</a:rPr>
                      <m:t>𝑝</m:t>
                    </m:r>
                    <m:r>
                      <m:rPr>
                        <m:sty m:val="p"/>
                      </m:rPr>
                      <a:rPr lang="de-DE" sz="1100" b="0" i="0" baseline="-25000">
                        <a:latin typeface="Cambria Math" panose="02040503050406030204" pitchFamily="18" charset="0"/>
                      </a:rPr>
                      <m:t>W</m:t>
                    </m:r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6 ⦁ </m:t>
                            </m:r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sub>
                        </m:sSub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⦁</m:t>
                        </m:r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nenn</m:t>
                            </m:r>
                          </m:sub>
                        </m:sSub>
                      </m:num>
                      <m:den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de-DE" sz="1100" i="1">
                            <a:latin typeface="Cambria Math" panose="02040503050406030204" pitchFamily="18" charset="0"/>
                          </a:rPr>
                          <m:t>⦁</m:t>
                        </m:r>
                        <m:sSubSup>
                          <m:sSubSup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  <m:sup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r>
                      <a:rPr lang="de-DE" sz="1100" i="1">
                        <a:latin typeface="Cambria Math" panose="02040503050406030204" pitchFamily="18" charset="0"/>
                      </a:rPr>
                      <m:t>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m:rPr>
                        <m:sty m:val="p"/>
                      </m:rPr>
                      <a:rPr lang="de-DE" sz="1100" i="0" baseline="-25000">
                        <a:latin typeface="Cambria Math" panose="02040503050406030204" pitchFamily="18" charset="0"/>
                      </a:rPr>
                      <m:t>zu</m:t>
                    </m:r>
                    <m:r>
                      <m:rPr>
                        <m:sty m:val="p"/>
                      </m:rPr>
                      <a:rPr lang="de-DE" sz="1100" b="0" i="0" baseline="-25000">
                        <a:latin typeface="Cambria Math" panose="02040503050406030204" pitchFamily="18" charset="0"/>
                      </a:rPr>
                      <m:t>l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1DBC57B-940A-477B-827C-8270F1FA66AC}"/>
                </a:ext>
              </a:extLst>
            </xdr:cNvPr>
            <xdr:cNvSpPr txBox="1"/>
          </xdr:nvSpPr>
          <xdr:spPr>
            <a:xfrm>
              <a:off x="13687425" y="2100262"/>
              <a:ext cx="1512337" cy="361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𝑝</a:t>
              </a:r>
              <a:r>
                <a:rPr lang="de-DE" sz="1100" b="0" i="0" baseline="-25000">
                  <a:latin typeface="Cambria Math" panose="02040503050406030204" pitchFamily="18" charset="0"/>
                </a:rPr>
                <a:t>W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(〖</a:t>
              </a:r>
              <a:r>
                <a:rPr lang="de-D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6 ⦁ </a:t>
              </a:r>
              <a:r>
                <a:rPr lang="de-DE" sz="1100" i="0">
                  <a:latin typeface="Cambria Math" panose="02040503050406030204" pitchFamily="18" charset="0"/>
                </a:rPr>
                <a:t>𝐾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</a:t>
              </a:r>
              <a:r>
                <a:rPr lang="de-DE" sz="1100" b="0" i="0">
                  <a:latin typeface="Cambria Math" panose="02040503050406030204" pitchFamily="18" charset="0"/>
                </a:rPr>
                <a:t>A</a:t>
              </a:r>
              <a:r>
                <a:rPr lang="de-DE" sz="1100" i="0">
                  <a:latin typeface="Cambria Math" panose="02040503050406030204" pitchFamily="18" charset="0"/>
                </a:rPr>
                <a:t>⦁</a:t>
              </a:r>
              <a:r>
                <a:rPr lang="de-DE" sz="1100" b="0" i="0">
                  <a:latin typeface="Cambria Math" panose="02040503050406030204" pitchFamily="18" charset="0"/>
                </a:rPr>
                <a:t>𝑇_nenn</a:t>
              </a:r>
              <a:r>
                <a:rPr lang="de-D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de-DE" sz="1100" i="0">
                  <a:latin typeface="Cambria Math" panose="02040503050406030204" pitchFamily="18" charset="0"/>
                </a:rPr>
                <a:t>𝑑⦁</a:t>
              </a:r>
              <a:r>
                <a:rPr lang="de-DE" sz="1100" b="0" i="0">
                  <a:latin typeface="Cambria Math" panose="02040503050406030204" pitchFamily="18" charset="0"/>
                </a:rPr>
                <a:t>𝑑_W^2 </a:t>
              </a:r>
              <a:r>
                <a:rPr lang="de-D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de-DE" sz="1100" i="0">
                  <a:latin typeface="Cambria Math" panose="02040503050406030204" pitchFamily="18" charset="0"/>
                </a:rPr>
                <a:t>≤</a:t>
              </a:r>
              <a:r>
                <a:rPr lang="de-DE" sz="1100" b="0" i="0">
                  <a:latin typeface="Cambria Math" panose="02040503050406030204" pitchFamily="18" charset="0"/>
                </a:rPr>
                <a:t>𝑝</a:t>
              </a:r>
              <a:r>
                <a:rPr lang="de-DE" sz="1100" i="0" baseline="-25000">
                  <a:latin typeface="Cambria Math" panose="02040503050406030204" pitchFamily="18" charset="0"/>
                </a:rPr>
                <a:t>zu</a:t>
              </a:r>
              <a:r>
                <a:rPr lang="de-DE" sz="1100" b="0" i="0" baseline="-25000">
                  <a:latin typeface="Cambria Math" panose="02040503050406030204" pitchFamily="18" charset="0"/>
                </a:rPr>
                <a:t>l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33</xdr:col>
      <xdr:colOff>257175</xdr:colOff>
      <xdr:row>13</xdr:row>
      <xdr:rowOff>9525</xdr:rowOff>
    </xdr:from>
    <xdr:ext cx="35554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5D12EDF6-2D91-4BFA-A0AA-720F36CAB7D5}"/>
                </a:ext>
              </a:extLst>
            </xdr:cNvPr>
            <xdr:cNvSpPr txBox="1"/>
          </xdr:nvSpPr>
          <xdr:spPr>
            <a:xfrm>
              <a:off x="13687425" y="2914650"/>
              <a:ext cx="3555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1" i="1">
                        <a:latin typeface="Cambria Math" panose="02040503050406030204" pitchFamily="18" charset="0"/>
                      </a:rPr>
                      <m:t>𝒑</m:t>
                    </m:r>
                    <m:r>
                      <a:rPr lang="de-DE" sz="1100" b="1" i="0" baseline="-25000">
                        <a:latin typeface="Cambria Math" panose="02040503050406030204" pitchFamily="18" charset="0"/>
                      </a:rPr>
                      <m:t>𝐖</m:t>
                    </m:r>
                    <m:r>
                      <a:rPr lang="de-DE" sz="11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b="1"/>
            </a:p>
          </xdr:txBody>
        </xdr:sp>
      </mc:Choice>
      <mc:Fallback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5D12EDF6-2D91-4BFA-A0AA-720F36CAB7D5}"/>
                </a:ext>
              </a:extLst>
            </xdr:cNvPr>
            <xdr:cNvSpPr txBox="1"/>
          </xdr:nvSpPr>
          <xdr:spPr>
            <a:xfrm>
              <a:off x="13687425" y="2914650"/>
              <a:ext cx="3555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latin typeface="Cambria Math" panose="02040503050406030204" pitchFamily="18" charset="0"/>
                </a:rPr>
                <a:t>𝒑</a:t>
              </a:r>
              <a:r>
                <a:rPr lang="de-DE" sz="1100" b="1" i="0" baseline="-25000">
                  <a:latin typeface="Cambria Math" panose="02040503050406030204" pitchFamily="18" charset="0"/>
                </a:rPr>
                <a:t>𝐖</a:t>
              </a:r>
              <a:r>
                <a:rPr lang="de-DE" sz="1100" b="1" i="0">
                  <a:latin typeface="Cambria Math" panose="02040503050406030204" pitchFamily="18" charset="0"/>
                </a:rPr>
                <a:t>=</a:t>
              </a:r>
              <a:endParaRPr lang="de-DE" sz="1100" b="1"/>
            </a:p>
          </xdr:txBody>
        </xdr:sp>
      </mc:Fallback>
    </mc:AlternateContent>
    <xdr:clientData/>
  </xdr:oneCellAnchor>
  <xdr:oneCellAnchor>
    <xdr:from>
      <xdr:col>23</xdr:col>
      <xdr:colOff>257175</xdr:colOff>
      <xdr:row>19</xdr:row>
      <xdr:rowOff>128587</xdr:rowOff>
    </xdr:from>
    <xdr:ext cx="1680652" cy="5095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58F44553-361E-4B81-B0B4-9FDC5B74B9FC}"/>
                </a:ext>
              </a:extLst>
            </xdr:cNvPr>
            <xdr:cNvSpPr txBox="1"/>
          </xdr:nvSpPr>
          <xdr:spPr>
            <a:xfrm>
              <a:off x="9001125" y="4433887"/>
              <a:ext cx="1680652" cy="50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m:rPr>
                            <m:sty m:val="p"/>
                          </m:rPr>
                          <a:rPr kumimoji="0" lang="de-DE" sz="1100" b="0" i="0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</m:t>
                        </m:r>
                      </m:sub>
                    </m:sSub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4⦁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⦁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  <m:t>nenn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1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⦁ 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⦁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</m:den>
                    </m:f>
                    <m:r>
                      <a:rPr lang="de-DE" sz="1100" i="1">
                        <a:latin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𝜏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zul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58F44553-361E-4B81-B0B4-9FDC5B74B9FC}"/>
                </a:ext>
              </a:extLst>
            </xdr:cNvPr>
            <xdr:cNvSpPr txBox="1"/>
          </xdr:nvSpPr>
          <xdr:spPr>
            <a:xfrm>
              <a:off x="9001125" y="4433887"/>
              <a:ext cx="1680652" cy="50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𝜏_a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4⦁𝐾_A⦁𝑇_nenn)/(</a:t>
              </a:r>
              <a:r>
                <a:rPr lang="de-DE" sz="1100" i="0">
                  <a:latin typeface="Cambria Math" panose="02040503050406030204" pitchFamily="18" charset="0"/>
                </a:rPr>
                <a:t>𝑑</a:t>
              </a:r>
              <a:r>
                <a:rPr lang="de-DE" sz="1100" b="0" i="0">
                  <a:latin typeface="Cambria Math" panose="02040503050406030204" pitchFamily="18" charset="0"/>
                </a:rPr>
                <a:t>^2⦁ 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⦁𝑑_W </a:t>
              </a:r>
              <a:r>
                <a:rPr lang="de-DE" sz="1100" b="0" i="0">
                  <a:solidFill>
                    <a:srgbClr val="836967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de-DE" sz="1100" i="0">
                  <a:latin typeface="Cambria Math" panose="02040503050406030204" pitchFamily="18" charset="0"/>
                </a:rPr>
                <a:t>≤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𝜏_(</a:t>
              </a:r>
              <a:r>
                <a:rPr lang="de-DE" sz="1100" b="0" i="0">
                  <a:latin typeface="Cambria Math" panose="02040503050406030204" pitchFamily="18" charset="0"/>
                </a:rPr>
                <a:t>a zul)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23</xdr:col>
      <xdr:colOff>371475</xdr:colOff>
      <xdr:row>22</xdr:row>
      <xdr:rowOff>180975</xdr:rowOff>
    </xdr:from>
    <xdr:ext cx="310790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73A2D20A-5FDF-4994-9B2A-D3E1CE4DD044}"/>
                </a:ext>
              </a:extLst>
            </xdr:cNvPr>
            <xdr:cNvSpPr txBox="1"/>
          </xdr:nvSpPr>
          <xdr:spPr>
            <a:xfrm>
              <a:off x="9115425" y="5114925"/>
              <a:ext cx="310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𝝉</m:t>
                        </m:r>
                      </m:e>
                      <m:sub>
                        <m:r>
                          <a:rPr lang="de-DE" sz="11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𝐚</m:t>
                        </m:r>
                      </m:sub>
                    </m:sSub>
                    <m:r>
                      <a:rPr lang="de-DE" sz="11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b="1"/>
            </a:p>
          </xdr:txBody>
        </xdr:sp>
      </mc:Choice>
      <mc:Fallback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73A2D20A-5FDF-4994-9B2A-D3E1CE4DD044}"/>
                </a:ext>
              </a:extLst>
            </xdr:cNvPr>
            <xdr:cNvSpPr txBox="1"/>
          </xdr:nvSpPr>
          <xdr:spPr>
            <a:xfrm>
              <a:off x="9115425" y="5114925"/>
              <a:ext cx="310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𝝉_𝐚</a:t>
              </a:r>
              <a:r>
                <a:rPr lang="de-DE" sz="1100" b="1" i="0">
                  <a:latin typeface="Cambria Math" panose="02040503050406030204" pitchFamily="18" charset="0"/>
                </a:rPr>
                <a:t>=</a:t>
              </a:r>
              <a:endParaRPr lang="de-DE" sz="1100" b="1"/>
            </a:p>
          </xdr:txBody>
        </xdr:sp>
      </mc:Fallback>
    </mc:AlternateContent>
    <xdr:clientData/>
  </xdr:oneCellAnchor>
  <xdr:oneCellAnchor>
    <xdr:from>
      <xdr:col>28</xdr:col>
      <xdr:colOff>209550</xdr:colOff>
      <xdr:row>13</xdr:row>
      <xdr:rowOff>38100</xdr:rowOff>
    </xdr:from>
    <xdr:ext cx="387991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90A5F3EE-E44E-496D-A7ED-C1BB5AA173C1}"/>
                </a:ext>
              </a:extLst>
            </xdr:cNvPr>
            <xdr:cNvSpPr txBox="1"/>
          </xdr:nvSpPr>
          <xdr:spPr>
            <a:xfrm>
              <a:off x="10858500" y="2943225"/>
              <a:ext cx="3879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1" i="0">
                        <a:latin typeface="Cambria Math" panose="02040503050406030204" pitchFamily="18" charset="0"/>
                      </a:rPr>
                      <m:t>≤</m:t>
                    </m:r>
                    <m:r>
                      <a:rPr lang="de-DE" sz="1100" b="1" i="1">
                        <a:latin typeface="Cambria Math" panose="02040503050406030204" pitchFamily="18" charset="0"/>
                      </a:rPr>
                      <m:t>𝒑</m:t>
                    </m:r>
                    <m:r>
                      <a:rPr lang="de-DE" sz="1100" b="1" i="0" baseline="-25000">
                        <a:latin typeface="Cambria Math" panose="02040503050406030204" pitchFamily="18" charset="0"/>
                      </a:rPr>
                      <m:t>𝐳𝐮𝐥</m:t>
                    </m:r>
                  </m:oMath>
                </m:oMathPara>
              </a14:m>
              <a:endParaRPr lang="de-DE" sz="1100" b="1" i="0" baseline="-25000"/>
            </a:p>
          </xdr:txBody>
        </xdr:sp>
      </mc:Choice>
      <mc:Fallback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90A5F3EE-E44E-496D-A7ED-C1BB5AA173C1}"/>
                </a:ext>
              </a:extLst>
            </xdr:cNvPr>
            <xdr:cNvSpPr txBox="1"/>
          </xdr:nvSpPr>
          <xdr:spPr>
            <a:xfrm>
              <a:off x="10858500" y="2943225"/>
              <a:ext cx="3879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latin typeface="Cambria Math" panose="02040503050406030204" pitchFamily="18" charset="0"/>
                </a:rPr>
                <a:t>≤𝒑</a:t>
              </a:r>
              <a:r>
                <a:rPr lang="de-DE" sz="1100" b="1" i="0" baseline="-25000">
                  <a:latin typeface="Cambria Math" panose="02040503050406030204" pitchFamily="18" charset="0"/>
                </a:rPr>
                <a:t>𝐳𝐮𝐥</a:t>
              </a:r>
              <a:endParaRPr lang="de-DE" sz="1100" b="1" i="0" baseline="-25000"/>
            </a:p>
          </xdr:txBody>
        </xdr:sp>
      </mc:Fallback>
    </mc:AlternateContent>
    <xdr:clientData/>
  </xdr:oneCellAnchor>
  <xdr:oneCellAnchor>
    <xdr:from>
      <xdr:col>38</xdr:col>
      <xdr:colOff>200025</xdr:colOff>
      <xdr:row>13</xdr:row>
      <xdr:rowOff>19050</xdr:rowOff>
    </xdr:from>
    <xdr:ext cx="387991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10203F3A-3CF0-4414-875A-3464E2B30267}"/>
                </a:ext>
              </a:extLst>
            </xdr:cNvPr>
            <xdr:cNvSpPr txBox="1"/>
          </xdr:nvSpPr>
          <xdr:spPr>
            <a:xfrm>
              <a:off x="15535275" y="2924175"/>
              <a:ext cx="3879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1" i="0">
                        <a:latin typeface="Cambria Math" panose="02040503050406030204" pitchFamily="18" charset="0"/>
                      </a:rPr>
                      <m:t>≤</m:t>
                    </m:r>
                    <m:r>
                      <a:rPr lang="de-DE" sz="1100" b="1" i="1">
                        <a:latin typeface="Cambria Math" panose="02040503050406030204" pitchFamily="18" charset="0"/>
                      </a:rPr>
                      <m:t>𝒑</m:t>
                    </m:r>
                    <m:r>
                      <a:rPr lang="de-DE" sz="1100" b="1" i="0" baseline="-25000">
                        <a:latin typeface="Cambria Math" panose="02040503050406030204" pitchFamily="18" charset="0"/>
                      </a:rPr>
                      <m:t>𝐳𝐮𝐥</m:t>
                    </m:r>
                  </m:oMath>
                </m:oMathPara>
              </a14:m>
              <a:endParaRPr lang="de-DE" sz="1100" b="1" i="0" baseline="-25000"/>
            </a:p>
          </xdr:txBody>
        </xdr:sp>
      </mc:Choice>
      <mc:Fallback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10203F3A-3CF0-4414-875A-3464E2B30267}"/>
                </a:ext>
              </a:extLst>
            </xdr:cNvPr>
            <xdr:cNvSpPr txBox="1"/>
          </xdr:nvSpPr>
          <xdr:spPr>
            <a:xfrm>
              <a:off x="15535275" y="2924175"/>
              <a:ext cx="3879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latin typeface="Cambria Math" panose="02040503050406030204" pitchFamily="18" charset="0"/>
                </a:rPr>
                <a:t>≤𝒑</a:t>
              </a:r>
              <a:r>
                <a:rPr lang="de-DE" sz="1100" b="1" i="0" baseline="-25000">
                  <a:latin typeface="Cambria Math" panose="02040503050406030204" pitchFamily="18" charset="0"/>
                </a:rPr>
                <a:t>𝐳𝐮𝐥</a:t>
              </a:r>
              <a:endParaRPr lang="de-DE" sz="1100" b="1" i="0" baseline="-25000"/>
            </a:p>
          </xdr:txBody>
        </xdr:sp>
      </mc:Fallback>
    </mc:AlternateContent>
    <xdr:clientData/>
  </xdr:oneCellAnchor>
  <xdr:oneCellAnchor>
    <xdr:from>
      <xdr:col>28</xdr:col>
      <xdr:colOff>200025</xdr:colOff>
      <xdr:row>22</xdr:row>
      <xdr:rowOff>180975</xdr:rowOff>
    </xdr:from>
    <xdr:ext cx="480837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30F1FF2F-3E9E-492E-86C1-BCFAF8519EF1}"/>
                </a:ext>
              </a:extLst>
            </xdr:cNvPr>
            <xdr:cNvSpPr txBox="1"/>
          </xdr:nvSpPr>
          <xdr:spPr>
            <a:xfrm>
              <a:off x="10848975" y="5114925"/>
              <a:ext cx="4808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1" i="0">
                        <a:latin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de-DE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𝝉</m:t>
                        </m:r>
                      </m:e>
                      <m:sub>
                        <m:r>
                          <a:rPr lang="de-DE" sz="1100" b="1" i="0">
                            <a:latin typeface="Cambria Math" panose="02040503050406030204" pitchFamily="18" charset="0"/>
                          </a:rPr>
                          <m:t>𝐚</m:t>
                        </m:r>
                        <m:r>
                          <a:rPr lang="de-DE" sz="1100" b="1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1" i="0">
                            <a:latin typeface="Cambria Math" panose="02040503050406030204" pitchFamily="18" charset="0"/>
                          </a:rPr>
                          <m:t>𝐳𝐮𝐥</m:t>
                        </m:r>
                      </m:sub>
                    </m:sSub>
                  </m:oMath>
                </m:oMathPara>
              </a14:m>
              <a:endParaRPr lang="de-DE" sz="1100" b="1"/>
            </a:p>
          </xdr:txBody>
        </xdr:sp>
      </mc:Choice>
      <mc:Fallback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30F1FF2F-3E9E-492E-86C1-BCFAF8519EF1}"/>
                </a:ext>
              </a:extLst>
            </xdr:cNvPr>
            <xdr:cNvSpPr txBox="1"/>
          </xdr:nvSpPr>
          <xdr:spPr>
            <a:xfrm>
              <a:off x="10848975" y="5114925"/>
              <a:ext cx="4808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1" i="0">
                  <a:latin typeface="Cambria Math" panose="02040503050406030204" pitchFamily="18" charset="0"/>
                </a:rPr>
                <a:t>≤</a:t>
              </a:r>
              <a:r>
                <a:rPr lang="de-DE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𝝉_(</a:t>
              </a:r>
              <a:r>
                <a:rPr lang="de-DE" sz="1100" b="1" i="0">
                  <a:latin typeface="Cambria Math" panose="02040503050406030204" pitchFamily="18" charset="0"/>
                </a:rPr>
                <a:t>𝐚 𝐳𝐮𝐥)</a:t>
              </a:r>
              <a:endParaRPr lang="de-DE" sz="1100" b="1"/>
            </a:p>
          </xdr:txBody>
        </xdr:sp>
      </mc:Fallback>
    </mc:AlternateContent>
    <xdr:clientData/>
  </xdr:oneCellAnchor>
  <xdr:twoCellAnchor editAs="oneCell">
    <xdr:from>
      <xdr:col>2</xdr:col>
      <xdr:colOff>266700</xdr:colOff>
      <xdr:row>0</xdr:row>
      <xdr:rowOff>95250</xdr:rowOff>
    </xdr:from>
    <xdr:to>
      <xdr:col>4</xdr:col>
      <xdr:colOff>514349</xdr:colOff>
      <xdr:row>4</xdr:row>
      <xdr:rowOff>152399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360A1588-7351-4840-8C0F-9BC9C1466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5250"/>
          <a:ext cx="1009649" cy="1009649"/>
        </a:xfrm>
        <a:prstGeom prst="rect">
          <a:avLst/>
        </a:prstGeom>
      </xdr:spPr>
    </xdr:pic>
    <xdr:clientData/>
  </xdr:twoCellAnchor>
  <xdr:twoCellAnchor editAs="oneCell">
    <xdr:from>
      <xdr:col>35</xdr:col>
      <xdr:colOff>57150</xdr:colOff>
      <xdr:row>16</xdr:row>
      <xdr:rowOff>171450</xdr:rowOff>
    </xdr:from>
    <xdr:to>
      <xdr:col>41</xdr:col>
      <xdr:colOff>209550</xdr:colOff>
      <xdr:row>27</xdr:row>
      <xdr:rowOff>134234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00C5D56-32D8-9C18-92FE-38C9219ED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9400" y="3771900"/>
          <a:ext cx="3314700" cy="2286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9E48-4CEB-48C7-8EB3-F744D9AB82B7}">
  <dimension ref="A3:AW56"/>
  <sheetViews>
    <sheetView showGridLines="0" tabSelected="1" topLeftCell="B1" workbookViewId="0">
      <selection activeCell="AE29" sqref="AE29"/>
    </sheetView>
  </sheetViews>
  <sheetFormatPr baseColWidth="10" defaultColWidth="5.7109375" defaultRowHeight="15" x14ac:dyDescent="0.25"/>
  <cols>
    <col min="1" max="1" width="0" hidden="1" customWidth="1"/>
    <col min="3" max="3" width="5.7109375" customWidth="1"/>
    <col min="5" max="5" width="11.140625" customWidth="1"/>
    <col min="29" max="29" width="12" customWidth="1"/>
    <col min="30" max="30" width="11.85546875" customWidth="1"/>
    <col min="31" max="31" width="6.42578125" customWidth="1"/>
    <col min="39" max="39" width="12" customWidth="1"/>
    <col min="40" max="40" width="11.85546875" customWidth="1"/>
    <col min="41" max="41" width="6.42578125" customWidth="1"/>
  </cols>
  <sheetData>
    <row r="3" spans="1:49" ht="30" x14ac:dyDescent="0.4">
      <c r="F3" s="87" t="s">
        <v>76</v>
      </c>
    </row>
    <row r="6" spans="1:49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5.75" thickBo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5.75" thickBot="1" x14ac:dyDescent="0.3">
      <c r="A8" s="14"/>
      <c r="B8" s="14"/>
      <c r="C8" s="98" t="s"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  <c r="V8" s="14"/>
      <c r="W8" s="14"/>
      <c r="X8" s="115"/>
      <c r="Y8" s="150" t="s">
        <v>5</v>
      </c>
      <c r="Z8" s="150"/>
      <c r="AA8" s="150"/>
      <c r="AB8" s="150"/>
      <c r="AC8" s="150"/>
      <c r="AD8" s="150"/>
      <c r="AE8" s="150"/>
      <c r="AF8" s="117"/>
      <c r="AG8" s="14"/>
      <c r="AH8" s="115"/>
      <c r="AI8" s="150" t="s">
        <v>10</v>
      </c>
      <c r="AJ8" s="150"/>
      <c r="AK8" s="150"/>
      <c r="AL8" s="150"/>
      <c r="AM8" s="150"/>
      <c r="AN8" s="150"/>
      <c r="AO8" s="150"/>
      <c r="AP8" s="117"/>
      <c r="AQ8" s="14"/>
      <c r="AR8" s="14"/>
      <c r="AS8" s="14"/>
      <c r="AT8" s="14"/>
      <c r="AU8" s="14"/>
      <c r="AV8" s="14"/>
      <c r="AW8" s="14"/>
    </row>
    <row r="9" spans="1:49" ht="18.75" thickBot="1" x14ac:dyDescent="0.4">
      <c r="A9" s="14"/>
      <c r="B9" s="14"/>
      <c r="C9" s="107"/>
      <c r="D9" s="106"/>
      <c r="E9" s="106"/>
      <c r="F9" s="101" t="s">
        <v>92</v>
      </c>
      <c r="G9" s="101"/>
      <c r="H9" s="101"/>
      <c r="I9" s="133">
        <v>2000</v>
      </c>
      <c r="J9" s="134"/>
      <c r="K9" s="135"/>
      <c r="L9" s="156" t="s">
        <v>95</v>
      </c>
      <c r="M9" s="120"/>
      <c r="N9" s="108"/>
      <c r="O9" s="108"/>
      <c r="P9" s="108"/>
      <c r="Q9" s="108"/>
      <c r="R9" s="108"/>
      <c r="S9" s="108"/>
      <c r="T9" s="108"/>
      <c r="U9" s="94"/>
      <c r="V9" s="14"/>
      <c r="W9" s="14"/>
      <c r="X9" s="121"/>
      <c r="Y9" s="148"/>
      <c r="Z9" s="148"/>
      <c r="AA9" s="148"/>
      <c r="AB9" s="148"/>
      <c r="AC9" s="148"/>
      <c r="AD9" s="148"/>
      <c r="AE9" s="148"/>
      <c r="AF9" s="122"/>
      <c r="AG9" s="14"/>
      <c r="AH9" s="121"/>
      <c r="AI9" s="148"/>
      <c r="AJ9" s="148"/>
      <c r="AK9" s="148"/>
      <c r="AL9" s="148"/>
      <c r="AM9" s="148"/>
      <c r="AN9" s="148"/>
      <c r="AO9" s="148"/>
      <c r="AP9" s="122"/>
      <c r="AQ9" s="14"/>
      <c r="AR9" s="14"/>
      <c r="AS9" s="14"/>
      <c r="AT9" s="14"/>
      <c r="AU9" s="14"/>
      <c r="AV9" s="14"/>
      <c r="AW9" s="14"/>
    </row>
    <row r="10" spans="1:49" ht="18.75" thickBot="1" x14ac:dyDescent="0.4">
      <c r="A10" s="14"/>
      <c r="B10" s="14"/>
      <c r="C10" s="109"/>
      <c r="D10" s="102"/>
      <c r="E10" s="103" t="s">
        <v>87</v>
      </c>
      <c r="F10" s="103"/>
      <c r="G10" s="103"/>
      <c r="H10" s="103"/>
      <c r="I10" s="136">
        <v>1</v>
      </c>
      <c r="J10" s="137"/>
      <c r="K10" s="138"/>
      <c r="L10" s="155" t="s">
        <v>4</v>
      </c>
      <c r="M10" s="155"/>
      <c r="N10" s="108"/>
      <c r="O10" s="108"/>
      <c r="P10" s="151" t="s">
        <v>6</v>
      </c>
      <c r="Q10" s="104"/>
      <c r="R10" s="104"/>
      <c r="S10" s="104"/>
      <c r="T10" s="105"/>
      <c r="U10" s="94"/>
      <c r="V10" s="14"/>
      <c r="W10" s="14"/>
      <c r="X10" s="13"/>
      <c r="Y10" s="14"/>
      <c r="Z10" s="14"/>
      <c r="AA10" s="14"/>
      <c r="AB10" s="14"/>
      <c r="AC10" s="14"/>
      <c r="AD10" s="14"/>
      <c r="AE10" s="14"/>
      <c r="AF10" s="15"/>
      <c r="AG10" s="14"/>
      <c r="AH10" s="13"/>
      <c r="AI10" s="14"/>
      <c r="AJ10" s="14"/>
      <c r="AK10" s="14"/>
      <c r="AL10" s="14"/>
      <c r="AM10" s="14"/>
      <c r="AN10" s="14"/>
      <c r="AP10" s="15"/>
      <c r="AQ10" s="14"/>
      <c r="AR10" s="14"/>
      <c r="AS10" s="14"/>
      <c r="AT10" s="14"/>
      <c r="AU10" s="14"/>
      <c r="AV10" s="14"/>
      <c r="AW10" s="14"/>
    </row>
    <row r="11" spans="1:49" ht="18.75" thickBot="1" x14ac:dyDescent="0.4">
      <c r="A11" s="14"/>
      <c r="B11" s="14"/>
      <c r="C11" s="110" t="s">
        <v>86</v>
      </c>
      <c r="D11" s="103"/>
      <c r="E11" s="103"/>
      <c r="F11" s="103"/>
      <c r="G11" s="103"/>
      <c r="H11" s="103"/>
      <c r="I11" s="139">
        <v>10</v>
      </c>
      <c r="J11" s="140"/>
      <c r="K11" s="141"/>
      <c r="L11" s="156" t="s">
        <v>96</v>
      </c>
      <c r="M11" s="156"/>
      <c r="N11" s="108"/>
      <c r="O11" s="108"/>
      <c r="P11" s="161" t="s">
        <v>79</v>
      </c>
      <c r="Q11" s="108"/>
      <c r="R11" s="108"/>
      <c r="S11" s="124">
        <f>I12*0.2</f>
        <v>8</v>
      </c>
      <c r="T11" s="125"/>
      <c r="U11" s="94"/>
      <c r="V11" s="14"/>
      <c r="W11" s="14"/>
      <c r="X11" s="13"/>
      <c r="Y11" s="14"/>
      <c r="Z11" s="14"/>
      <c r="AA11" s="14"/>
      <c r="AB11" s="14"/>
      <c r="AC11" s="14"/>
      <c r="AD11" s="61" t="str">
        <f>IF(Z14&lt;AD14,"OK","NOT OK")</f>
        <v>OK</v>
      </c>
      <c r="AE11" s="62"/>
      <c r="AF11" s="50"/>
      <c r="AG11" s="14"/>
      <c r="AH11" s="13"/>
      <c r="AI11" s="14"/>
      <c r="AJ11" s="14"/>
      <c r="AK11" s="14"/>
      <c r="AL11" s="14"/>
      <c r="AM11" s="14"/>
      <c r="AN11" s="61" t="str">
        <f>IF(AJ14&lt;AN14,"OK","NOT OK")</f>
        <v>OK</v>
      </c>
      <c r="AO11" s="62"/>
      <c r="AP11" s="50"/>
      <c r="AQ11" s="14"/>
      <c r="AR11" s="14"/>
      <c r="AS11" s="14"/>
      <c r="AT11" s="14"/>
      <c r="AU11" s="14"/>
      <c r="AV11" s="14"/>
      <c r="AW11" s="14"/>
    </row>
    <row r="12" spans="1:49" ht="18" x14ac:dyDescent="0.35">
      <c r="A12" s="14"/>
      <c r="B12" s="14"/>
      <c r="C12" s="110" t="s">
        <v>100</v>
      </c>
      <c r="D12" s="103"/>
      <c r="E12" s="103"/>
      <c r="F12" s="103"/>
      <c r="G12" s="103"/>
      <c r="H12" s="103"/>
      <c r="I12" s="139">
        <v>40</v>
      </c>
      <c r="J12" s="140"/>
      <c r="K12" s="141"/>
      <c r="L12" s="156" t="s">
        <v>95</v>
      </c>
      <c r="M12" s="156"/>
      <c r="N12" s="108"/>
      <c r="O12" s="108"/>
      <c r="P12" s="162" t="s">
        <v>78</v>
      </c>
      <c r="Q12" s="130"/>
      <c r="R12" s="130"/>
      <c r="S12" s="131">
        <f>I12*0.25</f>
        <v>10</v>
      </c>
      <c r="T12" s="132"/>
      <c r="U12" s="94"/>
      <c r="V12" s="14"/>
      <c r="W12" s="14"/>
      <c r="X12" s="13"/>
      <c r="Y12" s="14"/>
      <c r="Z12" s="14"/>
      <c r="AA12" s="14"/>
      <c r="AB12" s="14"/>
      <c r="AC12" s="14"/>
      <c r="AD12" s="14"/>
      <c r="AE12" s="14"/>
      <c r="AF12" s="15"/>
      <c r="AG12" s="14"/>
      <c r="AH12" s="13"/>
      <c r="AI12" s="14"/>
      <c r="AJ12" s="14"/>
      <c r="AK12" s="14"/>
      <c r="AL12" s="14"/>
      <c r="AM12" s="14"/>
      <c r="AN12" s="14"/>
      <c r="AO12" s="14"/>
      <c r="AP12" s="15"/>
      <c r="AQ12" s="14"/>
      <c r="AR12" s="14"/>
      <c r="AS12" s="14"/>
      <c r="AT12" s="14"/>
      <c r="AU12" s="14"/>
      <c r="AV12" s="14"/>
      <c r="AW12" s="14"/>
    </row>
    <row r="13" spans="1:49" ht="18" x14ac:dyDescent="0.35">
      <c r="A13" s="14"/>
      <c r="B13" s="14"/>
      <c r="C13" s="110" t="s">
        <v>93</v>
      </c>
      <c r="D13" s="103"/>
      <c r="E13" s="103"/>
      <c r="F13" s="103"/>
      <c r="G13" s="103"/>
      <c r="H13" s="103"/>
      <c r="I13" s="139">
        <v>15</v>
      </c>
      <c r="J13" s="140"/>
      <c r="K13" s="141"/>
      <c r="L13" s="156" t="s">
        <v>96</v>
      </c>
      <c r="M13" s="156"/>
      <c r="N13" s="108"/>
      <c r="O13" s="108"/>
      <c r="P13" s="162" t="s">
        <v>77</v>
      </c>
      <c r="Q13" s="130"/>
      <c r="R13" s="130"/>
      <c r="S13" s="131">
        <f>I12*0.3</f>
        <v>12</v>
      </c>
      <c r="T13" s="132"/>
      <c r="U13" s="94"/>
      <c r="V13" s="14"/>
      <c r="W13" s="14"/>
      <c r="X13" s="13"/>
      <c r="Y13" s="14"/>
      <c r="Z13" s="14"/>
      <c r="AA13" s="14"/>
      <c r="AB13" s="14"/>
      <c r="AC13" s="14"/>
      <c r="AD13" s="14"/>
      <c r="AE13" s="14"/>
      <c r="AF13" s="15"/>
      <c r="AG13" s="14"/>
      <c r="AH13" s="13"/>
      <c r="AI13" s="14"/>
      <c r="AJ13" s="14"/>
      <c r="AK13" s="14"/>
      <c r="AL13" s="14"/>
      <c r="AM13" s="14"/>
      <c r="AN13" s="14"/>
      <c r="AO13" s="14"/>
      <c r="AP13" s="15"/>
      <c r="AQ13" s="14"/>
      <c r="AR13" s="14"/>
      <c r="AS13" s="14"/>
      <c r="AT13" s="14"/>
      <c r="AU13" s="14"/>
      <c r="AV13" s="14"/>
      <c r="AW13" s="14"/>
    </row>
    <row r="14" spans="1:49" ht="18" x14ac:dyDescent="0.35">
      <c r="A14" s="14"/>
      <c r="B14" s="14"/>
      <c r="C14" s="110" t="s">
        <v>101</v>
      </c>
      <c r="D14" s="103"/>
      <c r="E14" s="103"/>
      <c r="F14" s="103"/>
      <c r="G14" s="103"/>
      <c r="H14" s="103"/>
      <c r="I14" s="142">
        <v>200</v>
      </c>
      <c r="J14" s="143"/>
      <c r="K14" s="144"/>
      <c r="L14" s="155" t="s">
        <v>1</v>
      </c>
      <c r="M14" s="155"/>
      <c r="N14" s="108"/>
      <c r="O14" s="108"/>
      <c r="P14" s="108"/>
      <c r="Q14" s="108"/>
      <c r="R14" s="108"/>
      <c r="S14" s="108"/>
      <c r="T14" s="108"/>
      <c r="U14" s="94"/>
      <c r="V14" s="14"/>
      <c r="W14" s="14"/>
      <c r="X14" s="89"/>
      <c r="Y14" s="88"/>
      <c r="Z14" s="158">
        <f>(I9*I10)/((I11*I13)*(I12+I13))</f>
        <v>0.24242424242424243</v>
      </c>
      <c r="AA14" s="158"/>
      <c r="AB14" s="158"/>
      <c r="AC14" s="88"/>
      <c r="AD14" s="158">
        <f>(IF(I14&lt;I16,I14,I16)*I17*(IF(I18="ruhend",0.35,0.25)*(IF(I19="ja",0.7,1))))</f>
        <v>50</v>
      </c>
      <c r="AE14" s="158"/>
      <c r="AF14" s="159"/>
      <c r="AG14" s="14"/>
      <c r="AH14" s="89"/>
      <c r="AI14" s="88"/>
      <c r="AJ14" s="158">
        <f>(6*I9*I10)/(I11*I12^2)</f>
        <v>0.75</v>
      </c>
      <c r="AK14" s="158"/>
      <c r="AL14" s="158"/>
      <c r="AM14" s="88"/>
      <c r="AN14" s="158">
        <f>(IF(I14&lt;I15,I14,I15)*I17*(IF(I18="ruhend",0.35,0.25)*(IF(I19="ja",0.7,1))))</f>
        <v>50</v>
      </c>
      <c r="AO14" s="158"/>
      <c r="AP14" s="94"/>
      <c r="AQ14" s="14"/>
      <c r="AR14" s="14"/>
      <c r="AS14" s="14"/>
      <c r="AT14" s="14"/>
      <c r="AU14" s="14"/>
      <c r="AV14" s="14"/>
      <c r="AW14" s="14"/>
    </row>
    <row r="15" spans="1:49" ht="18" x14ac:dyDescent="0.35">
      <c r="A15" s="14"/>
      <c r="B15" s="14"/>
      <c r="C15" s="110" t="s">
        <v>88</v>
      </c>
      <c r="D15" s="103"/>
      <c r="E15" s="103"/>
      <c r="F15" s="103"/>
      <c r="G15" s="103"/>
      <c r="H15" s="103"/>
      <c r="I15" s="142">
        <v>400</v>
      </c>
      <c r="J15" s="143"/>
      <c r="K15" s="144"/>
      <c r="L15" s="155" t="s">
        <v>1</v>
      </c>
      <c r="M15" s="155"/>
      <c r="N15" s="108"/>
      <c r="O15" s="108"/>
      <c r="P15" s="108"/>
      <c r="Q15" s="108"/>
      <c r="R15" s="108"/>
      <c r="S15" s="108"/>
      <c r="T15" s="108"/>
      <c r="U15" s="94"/>
      <c r="V15" s="14"/>
      <c r="W15" s="14"/>
      <c r="X15" s="13"/>
      <c r="Y15" s="60"/>
      <c r="Z15" s="60"/>
      <c r="AA15" s="60"/>
      <c r="AB15" s="60"/>
      <c r="AC15" s="60"/>
      <c r="AD15" s="14"/>
      <c r="AE15" s="14"/>
      <c r="AF15" s="15"/>
      <c r="AG15" s="14"/>
      <c r="AH15" s="13"/>
      <c r="AI15" s="60"/>
      <c r="AJ15" s="60"/>
      <c r="AK15" s="60"/>
      <c r="AL15" s="60"/>
      <c r="AM15" s="60"/>
      <c r="AN15" s="14"/>
      <c r="AO15" s="14"/>
      <c r="AP15" s="15"/>
      <c r="AQ15" s="14"/>
      <c r="AR15" s="14"/>
      <c r="AS15" s="14"/>
      <c r="AT15" s="14"/>
      <c r="AU15" s="14"/>
      <c r="AV15" s="14"/>
      <c r="AW15" s="14"/>
    </row>
    <row r="16" spans="1:49" ht="18.75" thickBot="1" x14ac:dyDescent="0.4">
      <c r="A16" s="14"/>
      <c r="B16" s="14"/>
      <c r="C16" s="110" t="s">
        <v>89</v>
      </c>
      <c r="D16" s="103"/>
      <c r="E16" s="103"/>
      <c r="F16" s="103"/>
      <c r="G16" s="103"/>
      <c r="H16" s="103"/>
      <c r="I16" s="142">
        <v>360</v>
      </c>
      <c r="J16" s="143"/>
      <c r="K16" s="144"/>
      <c r="L16" s="155" t="s">
        <v>1</v>
      </c>
      <c r="M16" s="155"/>
      <c r="N16" s="108"/>
      <c r="O16" s="108"/>
      <c r="P16" s="90" t="s">
        <v>7</v>
      </c>
      <c r="Q16" s="91"/>
      <c r="R16" s="91"/>
      <c r="S16" s="91"/>
      <c r="T16" s="92"/>
      <c r="U16" s="94"/>
      <c r="V16" s="14"/>
      <c r="W16" s="14"/>
      <c r="X16" s="157" t="s">
        <v>83</v>
      </c>
      <c r="Y16" s="16"/>
      <c r="Z16" s="16"/>
      <c r="AA16" s="16"/>
      <c r="AB16" s="16"/>
      <c r="AC16" s="16"/>
      <c r="AD16" s="16"/>
      <c r="AE16" s="16"/>
      <c r="AF16" s="17"/>
      <c r="AG16" s="14"/>
      <c r="AH16" s="157" t="s">
        <v>85</v>
      </c>
      <c r="AI16" s="16"/>
      <c r="AJ16" s="16"/>
      <c r="AK16" s="16"/>
      <c r="AL16" s="16"/>
      <c r="AM16" s="16"/>
      <c r="AN16" s="16"/>
      <c r="AO16" s="16"/>
      <c r="AP16" s="17"/>
      <c r="AQ16" s="14"/>
      <c r="AR16" s="14"/>
      <c r="AS16" s="14"/>
      <c r="AT16" s="14"/>
      <c r="AU16" s="14"/>
      <c r="AV16" s="14"/>
      <c r="AW16" s="14"/>
    </row>
    <row r="17" spans="1:49" ht="18.75" thickBot="1" x14ac:dyDescent="0.4">
      <c r="A17" s="14"/>
      <c r="B17" s="14"/>
      <c r="C17" s="110" t="s">
        <v>102</v>
      </c>
      <c r="D17" s="103"/>
      <c r="E17" s="103"/>
      <c r="F17" s="103"/>
      <c r="G17" s="103"/>
      <c r="H17" s="103"/>
      <c r="I17" s="136">
        <v>1</v>
      </c>
      <c r="J17" s="137"/>
      <c r="K17" s="138"/>
      <c r="L17" s="155" t="s">
        <v>70</v>
      </c>
      <c r="M17" s="155"/>
      <c r="N17" s="108"/>
      <c r="O17" s="108"/>
      <c r="P17" s="152" t="s">
        <v>8</v>
      </c>
      <c r="Q17" s="153"/>
      <c r="R17" s="153"/>
      <c r="S17" s="153"/>
      <c r="T17" s="154"/>
      <c r="U17" s="9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8" x14ac:dyDescent="0.35">
      <c r="A18" s="14"/>
      <c r="B18" s="14"/>
      <c r="C18" s="110" t="s">
        <v>90</v>
      </c>
      <c r="D18" s="103"/>
      <c r="E18" s="103"/>
      <c r="F18" s="103"/>
      <c r="G18" s="103"/>
      <c r="H18" s="103"/>
      <c r="I18" s="136" t="s">
        <v>0</v>
      </c>
      <c r="J18" s="137"/>
      <c r="K18" s="138"/>
      <c r="L18" s="156" t="s">
        <v>95</v>
      </c>
      <c r="M18" s="120"/>
      <c r="N18" s="108"/>
      <c r="O18" s="108"/>
      <c r="P18" s="123" t="s">
        <v>80</v>
      </c>
      <c r="Q18" s="108"/>
      <c r="R18" s="108"/>
      <c r="S18" s="124">
        <f>I12*0.25</f>
        <v>10</v>
      </c>
      <c r="T18" s="125"/>
      <c r="U18" s="94"/>
      <c r="V18" s="14"/>
      <c r="W18" s="14"/>
      <c r="X18" s="115"/>
      <c r="Y18" s="150" t="s">
        <v>71</v>
      </c>
      <c r="Z18" s="150"/>
      <c r="AA18" s="150"/>
      <c r="AB18" s="150"/>
      <c r="AC18" s="150"/>
      <c r="AD18" s="150"/>
      <c r="AE18" s="150"/>
      <c r="AF18" s="117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8.75" thickBot="1" x14ac:dyDescent="0.4">
      <c r="A19" s="14"/>
      <c r="B19" s="14"/>
      <c r="C19" s="111" t="s">
        <v>91</v>
      </c>
      <c r="D19" s="112"/>
      <c r="E19" s="112"/>
      <c r="F19" s="112"/>
      <c r="G19" s="112"/>
      <c r="H19" s="112"/>
      <c r="I19" s="145" t="s">
        <v>69</v>
      </c>
      <c r="J19" s="146"/>
      <c r="K19" s="147"/>
      <c r="L19" s="156" t="s">
        <v>95</v>
      </c>
      <c r="M19" s="120"/>
      <c r="N19" s="108"/>
      <c r="O19" s="108"/>
      <c r="P19" s="113" t="s">
        <v>81</v>
      </c>
      <c r="Q19" s="130"/>
      <c r="R19" s="130"/>
      <c r="S19" s="131">
        <f>I12*0.375</f>
        <v>15</v>
      </c>
      <c r="T19" s="132"/>
      <c r="U19" s="114"/>
      <c r="V19" s="14"/>
      <c r="W19" s="14"/>
      <c r="X19" s="121"/>
      <c r="Y19" s="148"/>
      <c r="Z19" s="148"/>
      <c r="AA19" s="148"/>
      <c r="AB19" s="148"/>
      <c r="AC19" s="148"/>
      <c r="AD19" s="148"/>
      <c r="AE19" s="148"/>
      <c r="AF19" s="122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8.75" thickBot="1" x14ac:dyDescent="0.4">
      <c r="A20" s="14"/>
      <c r="B20" s="14"/>
      <c r="C20" s="89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26" t="s">
        <v>94</v>
      </c>
      <c r="Q20" s="127"/>
      <c r="R20" s="127"/>
      <c r="S20" s="128">
        <f>I12*0.5</f>
        <v>20</v>
      </c>
      <c r="T20" s="129"/>
      <c r="U20" s="94"/>
      <c r="V20" s="14"/>
      <c r="W20" s="14"/>
      <c r="X20" s="13"/>
      <c r="Y20" s="14"/>
      <c r="Z20" s="14"/>
      <c r="AA20" s="14"/>
      <c r="AB20" s="14"/>
      <c r="AC20" s="14"/>
      <c r="AD20" s="14"/>
      <c r="AE20" s="14"/>
      <c r="AF20" s="15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.75" thickBot="1" x14ac:dyDescent="0.3">
      <c r="A21" s="14"/>
      <c r="B21" s="14"/>
      <c r="C21" s="89"/>
      <c r="D21" s="93" t="str">
        <f>Y8&amp;":"</f>
        <v>Flächenpressung in der Nabenbohrung:</v>
      </c>
      <c r="E21" s="93"/>
      <c r="F21" s="93"/>
      <c r="G21" s="93"/>
      <c r="H21" s="93"/>
      <c r="I21" s="93"/>
      <c r="J21" s="93"/>
      <c r="K21" s="59" t="str">
        <f>AD11</f>
        <v>OK</v>
      </c>
      <c r="L21" s="59"/>
      <c r="M21" s="88"/>
      <c r="N21" s="88"/>
      <c r="O21" s="88"/>
      <c r="P21" s="90" t="s">
        <v>9</v>
      </c>
      <c r="Q21" s="91"/>
      <c r="R21" s="91"/>
      <c r="S21" s="91"/>
      <c r="T21" s="92"/>
      <c r="U21" s="94"/>
      <c r="V21" s="14"/>
      <c r="W21" s="14"/>
      <c r="X21" s="13"/>
      <c r="Y21" s="14"/>
      <c r="Z21" s="14"/>
      <c r="AA21" s="14"/>
      <c r="AB21" s="14"/>
      <c r="AC21" s="14"/>
      <c r="AD21" s="61" t="str">
        <f>IF(Z24&lt;AD24,"OK","NOT OK")</f>
        <v>OK</v>
      </c>
      <c r="AE21" s="62"/>
      <c r="AF21" s="50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5">
      <c r="A22" s="14"/>
      <c r="B22" s="14"/>
      <c r="C22" s="89"/>
      <c r="D22" s="93" t="str">
        <f>AI8&amp;":"</f>
        <v>Flächenpressung in der Wellenbohrung:</v>
      </c>
      <c r="E22" s="93"/>
      <c r="F22" s="93"/>
      <c r="G22" s="93"/>
      <c r="H22" s="93"/>
      <c r="I22" s="93"/>
      <c r="J22" s="93"/>
      <c r="K22" s="59" t="str">
        <f>AN11</f>
        <v>OK</v>
      </c>
      <c r="L22" s="59"/>
      <c r="M22" s="88"/>
      <c r="N22" s="88"/>
      <c r="O22" s="88"/>
      <c r="P22" s="113" t="s">
        <v>82</v>
      </c>
      <c r="Q22" s="130"/>
      <c r="R22" s="130"/>
      <c r="S22" s="131">
        <f>I12*0.75</f>
        <v>30</v>
      </c>
      <c r="T22" s="132"/>
      <c r="U22" s="94"/>
      <c r="V22" s="14"/>
      <c r="W22" s="14"/>
      <c r="X22" s="13"/>
      <c r="Y22" s="14"/>
      <c r="Z22" s="14"/>
      <c r="AA22" s="14"/>
      <c r="AB22" s="14"/>
      <c r="AC22" s="14"/>
      <c r="AD22" s="14"/>
      <c r="AE22" s="14"/>
      <c r="AF22" s="15"/>
      <c r="AG22" s="14"/>
      <c r="AH22" s="14"/>
      <c r="AI22" s="14"/>
      <c r="AJ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5">
      <c r="A23" s="14"/>
      <c r="B23" s="14"/>
      <c r="C23" s="89"/>
      <c r="D23" s="93" t="str">
        <f>Y18&amp;":"</f>
        <v>Scherspannung im Stift:</v>
      </c>
      <c r="E23" s="93"/>
      <c r="F23" s="93"/>
      <c r="G23" s="93"/>
      <c r="H23" s="93"/>
      <c r="I23" s="93"/>
      <c r="J23" s="93"/>
      <c r="K23" s="59" t="str">
        <f>AD21</f>
        <v>OK</v>
      </c>
      <c r="L23" s="59"/>
      <c r="M23" s="88"/>
      <c r="N23" s="88"/>
      <c r="O23" s="88"/>
      <c r="P23" s="88"/>
      <c r="Q23" s="88"/>
      <c r="R23" s="88"/>
      <c r="S23" s="88"/>
      <c r="T23" s="88"/>
      <c r="U23" s="94"/>
      <c r="V23" s="14"/>
      <c r="W23" s="14"/>
      <c r="X23" s="13"/>
      <c r="Y23" s="14"/>
      <c r="Z23" s="14"/>
      <c r="AA23" s="14"/>
      <c r="AB23" s="14"/>
      <c r="AC23" s="14"/>
      <c r="AD23" s="14"/>
      <c r="AE23" s="14"/>
      <c r="AF23" s="15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5.75" thickBot="1" x14ac:dyDescent="0.3">
      <c r="A24" s="14"/>
      <c r="B24" s="14"/>
      <c r="C24" s="97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5"/>
      <c r="V24" s="14"/>
      <c r="W24" s="14"/>
      <c r="X24" s="89"/>
      <c r="Y24" s="88"/>
      <c r="Z24" s="158">
        <f>(4*I9*I10)/(I11^2*PI()*I12)</f>
        <v>0.63661977236758127</v>
      </c>
      <c r="AA24" s="158"/>
      <c r="AB24" s="158"/>
      <c r="AC24" s="88"/>
      <c r="AD24" s="160">
        <f>I14*I17*(IF(I18="ruhend",0.2,0.15)*(IF(I19="ja",0.8,1)))</f>
        <v>30</v>
      </c>
      <c r="AE24" s="160"/>
      <c r="AF24" s="9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3"/>
      <c r="Y25" s="60"/>
      <c r="Z25" s="60"/>
      <c r="AA25" s="60"/>
      <c r="AB25" s="60"/>
      <c r="AC25" s="60"/>
      <c r="AD25" s="14"/>
      <c r="AE25" s="14"/>
      <c r="AF25" s="15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75" thickBot="1" x14ac:dyDescent="0.3">
      <c r="A26" s="14"/>
      <c r="B26" s="14"/>
      <c r="C26" s="56" t="s">
        <v>72</v>
      </c>
      <c r="D26" s="57"/>
      <c r="E26" s="58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7" t="s">
        <v>84</v>
      </c>
      <c r="Y26" s="16"/>
      <c r="Z26" s="16"/>
      <c r="AA26" s="16"/>
      <c r="AB26" s="16"/>
      <c r="AC26" s="16"/>
      <c r="AD26" s="16"/>
      <c r="AE26" s="16"/>
      <c r="AF26" s="17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75" thickBot="1" x14ac:dyDescent="0.3">
      <c r="A27" s="14"/>
      <c r="B27" s="14"/>
      <c r="C27" s="51"/>
      <c r="D27" s="52" t="s">
        <v>73</v>
      </c>
      <c r="E27" s="5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15.75" thickBot="1" x14ac:dyDescent="0.3">
      <c r="A28" s="14"/>
      <c r="B28" s="14"/>
      <c r="C28" s="54"/>
      <c r="D28" s="52" t="s">
        <v>74</v>
      </c>
      <c r="E28" s="5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15.75" thickBot="1" x14ac:dyDescent="0.3">
      <c r="A29" s="14"/>
      <c r="B29" s="14"/>
      <c r="C29" s="14"/>
      <c r="D29" s="55"/>
      <c r="E29" s="5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x14ac:dyDescent="0.25">
      <c r="A30" s="14"/>
      <c r="B30" s="14"/>
      <c r="C30" s="115" t="s">
        <v>75</v>
      </c>
      <c r="D30" s="163"/>
      <c r="E30" s="163"/>
      <c r="F30" s="116"/>
      <c r="G30" s="116"/>
      <c r="H30" s="116"/>
      <c r="I30" s="116"/>
      <c r="J30" s="116"/>
      <c r="K30" s="116"/>
      <c r="L30" s="116"/>
      <c r="M30" s="163"/>
      <c r="N30" s="163"/>
      <c r="O30" s="163"/>
      <c r="P30" s="163"/>
      <c r="Q30" s="163"/>
      <c r="R30" s="116"/>
      <c r="S30" s="116"/>
      <c r="T30" s="116"/>
      <c r="U30" s="116"/>
      <c r="V30" s="116"/>
      <c r="W30" s="116"/>
      <c r="X30" s="116"/>
      <c r="Y30" s="117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x14ac:dyDescent="0.25">
      <c r="A31" s="14"/>
      <c r="B31" s="14"/>
      <c r="C31" s="118" t="s">
        <v>97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49"/>
      <c r="S31" s="149"/>
      <c r="T31" s="149"/>
      <c r="U31" s="149"/>
      <c r="V31" s="149"/>
      <c r="W31" s="149"/>
      <c r="X31" s="149"/>
      <c r="Y31" s="119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x14ac:dyDescent="0.25">
      <c r="A32" s="14"/>
      <c r="B32" s="14"/>
      <c r="C32" s="164" t="s">
        <v>98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49"/>
      <c r="S32" s="149"/>
      <c r="T32" s="149"/>
      <c r="U32" s="149"/>
      <c r="V32" s="149"/>
      <c r="W32" s="149"/>
      <c r="X32" s="149"/>
      <c r="Y32" s="119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15.75" thickBot="1" x14ac:dyDescent="0.3">
      <c r="A33" s="14"/>
      <c r="B33" s="14"/>
      <c r="C33" s="121" t="s">
        <v>99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48"/>
      <c r="S33" s="148"/>
      <c r="T33" s="148"/>
      <c r="U33" s="148"/>
      <c r="V33" s="148"/>
      <c r="W33" s="148"/>
      <c r="X33" s="148"/>
      <c r="Y33" s="12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</sheetData>
  <mergeCells count="61">
    <mergeCell ref="Z24:AB24"/>
    <mergeCell ref="Y25:AC25"/>
    <mergeCell ref="S22:T22"/>
    <mergeCell ref="P17:T17"/>
    <mergeCell ref="AN14:AO14"/>
    <mergeCell ref="AD14:AE14"/>
    <mergeCell ref="AJ14:AL14"/>
    <mergeCell ref="AI15:AM15"/>
    <mergeCell ref="Z14:AB14"/>
    <mergeCell ref="Y15:AC15"/>
    <mergeCell ref="AD24:AE24"/>
    <mergeCell ref="AD21:AE21"/>
    <mergeCell ref="S18:T18"/>
    <mergeCell ref="S19:T19"/>
    <mergeCell ref="S20:T20"/>
    <mergeCell ref="C8:U8"/>
    <mergeCell ref="F9:H9"/>
    <mergeCell ref="I9:K9"/>
    <mergeCell ref="I10:K10"/>
    <mergeCell ref="C11:H11"/>
    <mergeCell ref="I11:K11"/>
    <mergeCell ref="E10:H10"/>
    <mergeCell ref="P10:T10"/>
    <mergeCell ref="S11:T11"/>
    <mergeCell ref="L10:M10"/>
    <mergeCell ref="C13:H13"/>
    <mergeCell ref="AI8:AO8"/>
    <mergeCell ref="Y18:AE18"/>
    <mergeCell ref="D21:J21"/>
    <mergeCell ref="K21:L21"/>
    <mergeCell ref="AN11:AO11"/>
    <mergeCell ref="AD11:AE11"/>
    <mergeCell ref="L17:M17"/>
    <mergeCell ref="P21:T21"/>
    <mergeCell ref="L15:M15"/>
    <mergeCell ref="C17:H17"/>
    <mergeCell ref="C14:H14"/>
    <mergeCell ref="I14:K14"/>
    <mergeCell ref="C15:H15"/>
    <mergeCell ref="I15:K15"/>
    <mergeCell ref="C12:H12"/>
    <mergeCell ref="C19:H19"/>
    <mergeCell ref="C16:H16"/>
    <mergeCell ref="I16:K16"/>
    <mergeCell ref="C18:H18"/>
    <mergeCell ref="L16:M16"/>
    <mergeCell ref="I17:K17"/>
    <mergeCell ref="Y8:AE8"/>
    <mergeCell ref="S12:T12"/>
    <mergeCell ref="P16:T16"/>
    <mergeCell ref="I18:K18"/>
    <mergeCell ref="I19:K19"/>
    <mergeCell ref="I12:K12"/>
    <mergeCell ref="I13:K13"/>
    <mergeCell ref="L14:M14"/>
    <mergeCell ref="S13:T13"/>
    <mergeCell ref="C26:E26"/>
    <mergeCell ref="D23:J23"/>
    <mergeCell ref="D22:J22"/>
    <mergeCell ref="K22:L22"/>
    <mergeCell ref="K23:L23"/>
  </mergeCells>
  <phoneticPr fontId="2" type="noConversion"/>
  <conditionalFormatting sqref="K21:K23">
    <cfRule type="containsText" dxfId="7" priority="1" operator="containsText" text="NOT OK">
      <formula>NOT(ISERROR(SEARCH("NOT OK",K21)))</formula>
    </cfRule>
    <cfRule type="containsText" dxfId="6" priority="2" operator="containsText" text="OK">
      <formula>NOT(ISERROR(SEARCH("OK",K21)))</formula>
    </cfRule>
  </conditionalFormatting>
  <conditionalFormatting sqref="AD11">
    <cfRule type="containsText" dxfId="5" priority="5" operator="containsText" text="NOT OK">
      <formula>NOT(ISERROR(SEARCH("NOT OK",AD11)))</formula>
    </cfRule>
    <cfRule type="containsText" dxfId="4" priority="6" operator="containsText" text="OK">
      <formula>NOT(ISERROR(SEARCH("OK",AD11)))</formula>
    </cfRule>
  </conditionalFormatting>
  <conditionalFormatting sqref="AD21">
    <cfRule type="containsText" dxfId="3" priority="3" operator="containsText" text="NOT OK">
      <formula>NOT(ISERROR(SEARCH("NOT OK",AD21)))</formula>
    </cfRule>
    <cfRule type="containsText" dxfId="2" priority="4" operator="containsText" text="OK">
      <formula>NOT(ISERROR(SEARCH("OK",AD21)))</formula>
    </cfRule>
  </conditionalFormatting>
  <conditionalFormatting sqref="AN11">
    <cfRule type="containsText" dxfId="1" priority="7" operator="containsText" text="NOT OK">
      <formula>NOT(ISERROR(SEARCH("NOT OK",AN11)))</formula>
    </cfRule>
    <cfRule type="containsText" dxfId="0" priority="8" operator="containsText" text="OK">
      <formula>NOT(ISERROR(SEARCH("OK",AN11)))</formula>
    </cfRule>
  </conditionalFormatting>
  <dataValidations disablePrompts="1" count="2">
    <dataValidation type="list" allowBlank="1" showInputMessage="1" showErrorMessage="1" sqref="I18:K18" xr:uid="{AF0427FC-7AF2-4F90-A06B-38BAAAFB9D63}">
      <formula1>"ruhend, schwellend"</formula1>
    </dataValidation>
    <dataValidation type="list" allowBlank="1" showInputMessage="1" showErrorMessage="1" sqref="I19:K19" xr:uid="{B9455787-A566-4081-BA8E-1C5F1A586B0C}">
      <formula1>"Ja,Nein"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0E06-4AB0-48CE-B63E-B6FDBB3F4B7A}">
  <dimension ref="A1:W49"/>
  <sheetViews>
    <sheetView workbookViewId="0">
      <selection activeCell="D7" sqref="D7"/>
    </sheetView>
  </sheetViews>
  <sheetFormatPr baseColWidth="10" defaultRowHeight="15" x14ac:dyDescent="0.25"/>
  <sheetData>
    <row r="1" spans="1:23" x14ac:dyDescent="0.25">
      <c r="A1" t="s">
        <v>28</v>
      </c>
      <c r="C1" t="s">
        <v>29</v>
      </c>
      <c r="H1" t="s">
        <v>30</v>
      </c>
      <c r="J1" t="s">
        <v>29</v>
      </c>
      <c r="M1" t="s">
        <v>28</v>
      </c>
      <c r="O1" t="s">
        <v>31</v>
      </c>
      <c r="T1" t="s">
        <v>30</v>
      </c>
      <c r="V1" t="s">
        <v>31</v>
      </c>
    </row>
    <row r="2" spans="1:23" x14ac:dyDescent="0.25">
      <c r="A2" s="19" t="s">
        <v>32</v>
      </c>
      <c r="B2" s="23" t="s">
        <v>33</v>
      </c>
      <c r="C2" s="23" t="s">
        <v>34</v>
      </c>
      <c r="D2" s="23" t="s">
        <v>35</v>
      </c>
      <c r="H2" s="19" t="s">
        <v>32</v>
      </c>
      <c r="I2" s="23" t="s">
        <v>33</v>
      </c>
      <c r="J2" s="23" t="s">
        <v>34</v>
      </c>
      <c r="K2" s="23" t="s">
        <v>35</v>
      </c>
      <c r="M2" s="19" t="s">
        <v>32</v>
      </c>
      <c r="N2" s="23" t="s">
        <v>33</v>
      </c>
      <c r="O2" s="23" t="s">
        <v>34</v>
      </c>
      <c r="P2" s="23" t="s">
        <v>35</v>
      </c>
      <c r="T2" s="19" t="s">
        <v>32</v>
      </c>
      <c r="U2" s="23" t="s">
        <v>33</v>
      </c>
      <c r="V2" s="23" t="s">
        <v>34</v>
      </c>
      <c r="W2" s="23" t="s">
        <v>35</v>
      </c>
    </row>
    <row r="3" spans="1:23" x14ac:dyDescent="0.25">
      <c r="A3">
        <v>-1</v>
      </c>
      <c r="B3" t="s">
        <v>36</v>
      </c>
      <c r="C3">
        <v>30</v>
      </c>
      <c r="D3" t="s">
        <v>37</v>
      </c>
      <c r="H3">
        <v>-1</v>
      </c>
      <c r="I3" t="s">
        <v>36</v>
      </c>
      <c r="J3">
        <v>30</v>
      </c>
      <c r="K3" t="s">
        <v>37</v>
      </c>
      <c r="M3">
        <v>-1</v>
      </c>
      <c r="N3" t="s">
        <v>38</v>
      </c>
      <c r="O3">
        <v>52</v>
      </c>
      <c r="P3" t="s">
        <v>37</v>
      </c>
      <c r="T3">
        <v>-1</v>
      </c>
      <c r="U3" t="s">
        <v>38</v>
      </c>
      <c r="V3">
        <v>52</v>
      </c>
      <c r="W3" t="s">
        <v>37</v>
      </c>
    </row>
    <row r="4" spans="1:23" x14ac:dyDescent="0.25">
      <c r="A4">
        <v>-0.5</v>
      </c>
      <c r="B4" t="s">
        <v>36</v>
      </c>
      <c r="C4">
        <v>38</v>
      </c>
      <c r="D4" t="s">
        <v>37</v>
      </c>
      <c r="H4">
        <v>-0.5</v>
      </c>
      <c r="I4" t="s">
        <v>36</v>
      </c>
      <c r="J4">
        <v>35</v>
      </c>
      <c r="K4" t="s">
        <v>37</v>
      </c>
      <c r="M4">
        <v>-0.5</v>
      </c>
      <c r="N4" t="s">
        <v>38</v>
      </c>
      <c r="O4">
        <v>62</v>
      </c>
      <c r="P4" t="s">
        <v>37</v>
      </c>
      <c r="T4">
        <v>-0.5</v>
      </c>
      <c r="U4" t="s">
        <v>38</v>
      </c>
      <c r="V4">
        <v>62</v>
      </c>
      <c r="W4" t="s">
        <v>37</v>
      </c>
    </row>
    <row r="5" spans="1:23" x14ac:dyDescent="0.25">
      <c r="A5">
        <v>0</v>
      </c>
      <c r="B5" t="s">
        <v>36</v>
      </c>
      <c r="C5">
        <v>48</v>
      </c>
      <c r="D5" t="s">
        <v>39</v>
      </c>
      <c r="H5">
        <v>0</v>
      </c>
      <c r="I5" t="s">
        <v>36</v>
      </c>
      <c r="J5">
        <v>47</v>
      </c>
      <c r="K5" t="s">
        <v>39</v>
      </c>
      <c r="M5">
        <v>0</v>
      </c>
      <c r="N5" t="s">
        <v>38</v>
      </c>
      <c r="O5">
        <v>84</v>
      </c>
      <c r="P5" t="s">
        <v>39</v>
      </c>
      <c r="T5">
        <v>0</v>
      </c>
      <c r="U5" t="s">
        <v>38</v>
      </c>
      <c r="V5">
        <v>85</v>
      </c>
      <c r="W5" t="s">
        <v>39</v>
      </c>
    </row>
    <row r="6" spans="1:23" x14ac:dyDescent="0.25">
      <c r="A6">
        <v>0.5</v>
      </c>
      <c r="B6" t="s">
        <v>36</v>
      </c>
      <c r="C6">
        <v>73</v>
      </c>
      <c r="D6" t="s">
        <v>39</v>
      </c>
      <c r="H6">
        <v>0.5</v>
      </c>
      <c r="I6" t="s">
        <v>36</v>
      </c>
      <c r="J6">
        <v>68</v>
      </c>
      <c r="K6" t="s">
        <v>39</v>
      </c>
      <c r="M6">
        <v>0.11</v>
      </c>
      <c r="N6" t="s">
        <v>38</v>
      </c>
      <c r="O6">
        <v>98</v>
      </c>
      <c r="P6" t="s">
        <v>39</v>
      </c>
      <c r="T6">
        <v>0.46</v>
      </c>
      <c r="U6" t="s">
        <v>38</v>
      </c>
      <c r="V6">
        <v>152</v>
      </c>
      <c r="W6" t="s">
        <v>39</v>
      </c>
    </row>
    <row r="7" spans="1:23" x14ac:dyDescent="0.25">
      <c r="A7">
        <v>0.65</v>
      </c>
      <c r="B7" t="s">
        <v>36</v>
      </c>
      <c r="C7">
        <v>105</v>
      </c>
      <c r="D7" t="s">
        <v>39</v>
      </c>
      <c r="H7">
        <v>0.67</v>
      </c>
      <c r="I7" t="s">
        <v>36</v>
      </c>
      <c r="J7">
        <v>155</v>
      </c>
      <c r="K7" t="s">
        <v>39</v>
      </c>
      <c r="M7" s="24">
        <v>-1</v>
      </c>
      <c r="N7" s="24" t="s">
        <v>21</v>
      </c>
      <c r="O7" s="24">
        <v>59</v>
      </c>
      <c r="P7" t="s">
        <v>37</v>
      </c>
      <c r="T7" s="24">
        <v>-1</v>
      </c>
      <c r="U7" s="24" t="s">
        <v>21</v>
      </c>
      <c r="V7" s="24">
        <v>59</v>
      </c>
      <c r="W7" t="s">
        <v>37</v>
      </c>
    </row>
    <row r="8" spans="1:23" x14ac:dyDescent="0.25">
      <c r="A8" s="24">
        <v>-1</v>
      </c>
      <c r="B8" s="24" t="s">
        <v>20</v>
      </c>
      <c r="C8" s="24">
        <v>52</v>
      </c>
      <c r="D8" s="24" t="s">
        <v>37</v>
      </c>
      <c r="H8" s="24">
        <v>-1</v>
      </c>
      <c r="I8" s="24" t="s">
        <v>20</v>
      </c>
      <c r="J8" s="24">
        <v>52</v>
      </c>
      <c r="K8" s="24" t="s">
        <v>37</v>
      </c>
      <c r="M8" s="6">
        <v>-0.5</v>
      </c>
      <c r="N8" s="6" t="s">
        <v>21</v>
      </c>
      <c r="O8" s="6">
        <v>72</v>
      </c>
      <c r="P8" t="s">
        <v>37</v>
      </c>
      <c r="T8" s="6">
        <v>-0.5</v>
      </c>
      <c r="U8" s="6" t="s">
        <v>21</v>
      </c>
      <c r="V8" s="6">
        <v>63</v>
      </c>
      <c r="W8" t="s">
        <v>37</v>
      </c>
    </row>
    <row r="9" spans="1:23" x14ac:dyDescent="0.25">
      <c r="A9" s="6">
        <v>-0.5</v>
      </c>
      <c r="B9" s="6" t="s">
        <v>20</v>
      </c>
      <c r="C9" s="6">
        <v>70</v>
      </c>
      <c r="D9" s="6" t="s">
        <v>37</v>
      </c>
      <c r="H9" s="6">
        <v>-0.5</v>
      </c>
      <c r="I9" s="6" t="s">
        <v>20</v>
      </c>
      <c r="J9" s="6">
        <v>60</v>
      </c>
      <c r="K9" s="6" t="s">
        <v>37</v>
      </c>
      <c r="M9" s="24">
        <v>0</v>
      </c>
      <c r="N9" s="24" t="s">
        <v>21</v>
      </c>
      <c r="O9" s="24">
        <v>95</v>
      </c>
      <c r="P9" t="s">
        <v>39</v>
      </c>
      <c r="T9" s="24">
        <v>0</v>
      </c>
      <c r="U9" s="24" t="s">
        <v>21</v>
      </c>
      <c r="V9" s="24">
        <v>100</v>
      </c>
      <c r="W9" t="s">
        <v>39</v>
      </c>
    </row>
    <row r="10" spans="1:23" x14ac:dyDescent="0.25">
      <c r="A10" s="24">
        <v>0</v>
      </c>
      <c r="B10" s="24" t="s">
        <v>20</v>
      </c>
      <c r="C10" s="24">
        <v>80</v>
      </c>
      <c r="D10" s="24" t="s">
        <v>39</v>
      </c>
      <c r="H10" s="24">
        <v>0</v>
      </c>
      <c r="I10" s="24" t="s">
        <v>20</v>
      </c>
      <c r="J10" s="24">
        <v>70</v>
      </c>
      <c r="K10" s="24" t="s">
        <v>39</v>
      </c>
      <c r="M10">
        <v>-1</v>
      </c>
      <c r="N10" t="s">
        <v>40</v>
      </c>
      <c r="O10">
        <v>65</v>
      </c>
      <c r="P10" t="s">
        <v>37</v>
      </c>
      <c r="T10" s="6">
        <v>0.4</v>
      </c>
      <c r="U10" s="6" t="s">
        <v>21</v>
      </c>
      <c r="V10" s="6">
        <v>152</v>
      </c>
      <c r="W10" t="s">
        <v>39</v>
      </c>
    </row>
    <row r="11" spans="1:23" x14ac:dyDescent="0.25">
      <c r="A11" s="6">
        <v>0.3</v>
      </c>
      <c r="B11" s="6" t="s">
        <v>20</v>
      </c>
      <c r="C11" s="6">
        <v>105</v>
      </c>
      <c r="D11" s="6" t="s">
        <v>39</v>
      </c>
      <c r="H11" s="6">
        <v>0.5</v>
      </c>
      <c r="I11" s="6" t="s">
        <v>20</v>
      </c>
      <c r="J11" s="6">
        <v>132</v>
      </c>
      <c r="K11" s="6" t="s">
        <v>39</v>
      </c>
      <c r="M11">
        <v>-0.5</v>
      </c>
      <c r="N11" t="s">
        <v>40</v>
      </c>
      <c r="O11">
        <v>80</v>
      </c>
      <c r="P11" t="s">
        <v>37</v>
      </c>
      <c r="T11">
        <v>-1</v>
      </c>
      <c r="U11" t="s">
        <v>40</v>
      </c>
      <c r="V11">
        <v>65</v>
      </c>
      <c r="W11" t="s">
        <v>37</v>
      </c>
    </row>
    <row r="12" spans="1:23" x14ac:dyDescent="0.25">
      <c r="A12">
        <v>-1</v>
      </c>
      <c r="B12" t="s">
        <v>41</v>
      </c>
      <c r="C12">
        <v>58</v>
      </c>
      <c r="D12" t="s">
        <v>37</v>
      </c>
      <c r="H12" s="6">
        <v>0.55000000000000004</v>
      </c>
      <c r="I12" s="6" t="s">
        <v>20</v>
      </c>
      <c r="J12" s="6">
        <v>155</v>
      </c>
      <c r="K12" s="6" t="s">
        <v>39</v>
      </c>
      <c r="M12">
        <v>-0.18</v>
      </c>
      <c r="N12" t="s">
        <v>40</v>
      </c>
      <c r="O12">
        <v>98</v>
      </c>
      <c r="P12" t="s">
        <v>37</v>
      </c>
      <c r="T12">
        <v>-0.5</v>
      </c>
      <c r="U12" t="s">
        <v>40</v>
      </c>
      <c r="V12">
        <v>70</v>
      </c>
      <c r="W12" t="s">
        <v>37</v>
      </c>
    </row>
    <row r="13" spans="1:23" x14ac:dyDescent="0.25">
      <c r="A13">
        <v>-0.5</v>
      </c>
      <c r="B13" t="s">
        <v>41</v>
      </c>
      <c r="C13">
        <v>70</v>
      </c>
      <c r="D13" t="s">
        <v>37</v>
      </c>
      <c r="H13">
        <v>-1</v>
      </c>
      <c r="I13" t="s">
        <v>41</v>
      </c>
      <c r="J13">
        <v>58</v>
      </c>
      <c r="K13" t="s">
        <v>37</v>
      </c>
      <c r="M13">
        <v>-1</v>
      </c>
      <c r="N13" t="s">
        <v>42</v>
      </c>
      <c r="O13">
        <v>73</v>
      </c>
      <c r="P13" t="s">
        <v>37</v>
      </c>
      <c r="T13">
        <v>0</v>
      </c>
      <c r="U13" t="s">
        <v>40</v>
      </c>
      <c r="V13">
        <v>115</v>
      </c>
      <c r="W13" t="s">
        <v>39</v>
      </c>
    </row>
    <row r="14" spans="1:23" x14ac:dyDescent="0.25">
      <c r="A14">
        <v>0</v>
      </c>
      <c r="B14" t="s">
        <v>41</v>
      </c>
      <c r="C14">
        <v>88</v>
      </c>
      <c r="D14" t="s">
        <v>39</v>
      </c>
      <c r="H14">
        <v>-0.5</v>
      </c>
      <c r="I14" t="s">
        <v>41</v>
      </c>
      <c r="J14">
        <v>60</v>
      </c>
      <c r="K14" t="s">
        <v>37</v>
      </c>
      <c r="M14">
        <v>-0.5</v>
      </c>
      <c r="N14" t="s">
        <v>42</v>
      </c>
      <c r="O14">
        <v>90</v>
      </c>
      <c r="P14" t="s">
        <v>37</v>
      </c>
      <c r="T14">
        <v>0.28000000000000003</v>
      </c>
      <c r="U14" t="s">
        <v>40</v>
      </c>
      <c r="V14">
        <v>152</v>
      </c>
      <c r="W14" t="s">
        <v>39</v>
      </c>
    </row>
    <row r="15" spans="1:23" x14ac:dyDescent="0.25">
      <c r="A15">
        <v>0.2</v>
      </c>
      <c r="B15" t="s">
        <v>41</v>
      </c>
      <c r="C15">
        <v>105</v>
      </c>
      <c r="D15" t="s">
        <v>39</v>
      </c>
      <c r="H15">
        <v>0</v>
      </c>
      <c r="I15" t="s">
        <v>41</v>
      </c>
      <c r="J15">
        <v>85</v>
      </c>
      <c r="K15" t="s">
        <v>39</v>
      </c>
      <c r="M15">
        <v>-0.27</v>
      </c>
      <c r="N15" t="s">
        <v>42</v>
      </c>
      <c r="O15">
        <v>112</v>
      </c>
      <c r="P15" t="s">
        <v>37</v>
      </c>
      <c r="T15">
        <v>-1</v>
      </c>
      <c r="U15" t="s">
        <v>42</v>
      </c>
      <c r="V15">
        <v>73</v>
      </c>
      <c r="W15" t="s">
        <v>37</v>
      </c>
    </row>
    <row r="16" spans="1:23" x14ac:dyDescent="0.25">
      <c r="A16" s="24">
        <v>-1</v>
      </c>
      <c r="B16" s="24" t="s">
        <v>43</v>
      </c>
      <c r="C16" s="24">
        <v>66</v>
      </c>
      <c r="D16" s="24" t="s">
        <v>37</v>
      </c>
      <c r="H16">
        <v>0.51</v>
      </c>
      <c r="I16" t="s">
        <v>41</v>
      </c>
      <c r="J16">
        <v>155</v>
      </c>
      <c r="K16" t="s">
        <v>39</v>
      </c>
      <c r="M16">
        <v>-1</v>
      </c>
      <c r="N16" t="s">
        <v>44</v>
      </c>
      <c r="O16">
        <v>82</v>
      </c>
      <c r="P16" t="s">
        <v>37</v>
      </c>
      <c r="T16">
        <v>-0.5</v>
      </c>
      <c r="U16" t="s">
        <v>42</v>
      </c>
      <c r="V16">
        <v>95</v>
      </c>
      <c r="W16" t="s">
        <v>37</v>
      </c>
    </row>
    <row r="17" spans="1:23" x14ac:dyDescent="0.25">
      <c r="A17" s="6">
        <v>-0.5</v>
      </c>
      <c r="B17" s="6" t="s">
        <v>43</v>
      </c>
      <c r="C17" s="6">
        <v>76</v>
      </c>
      <c r="D17" s="6" t="s">
        <v>37</v>
      </c>
      <c r="H17" s="24">
        <v>-1</v>
      </c>
      <c r="I17" s="24" t="s">
        <v>43</v>
      </c>
      <c r="J17" s="24">
        <v>66</v>
      </c>
      <c r="K17" s="24" t="s">
        <v>37</v>
      </c>
      <c r="M17">
        <v>-0.5</v>
      </c>
      <c r="N17" t="s">
        <v>44</v>
      </c>
      <c r="O17">
        <v>99</v>
      </c>
      <c r="P17" t="s">
        <v>37</v>
      </c>
      <c r="T17">
        <v>0</v>
      </c>
      <c r="U17" t="s">
        <v>42</v>
      </c>
      <c r="V17">
        <v>125</v>
      </c>
      <c r="W17" t="s">
        <v>39</v>
      </c>
    </row>
    <row r="18" spans="1:23" x14ac:dyDescent="0.25">
      <c r="A18" s="24">
        <v>0</v>
      </c>
      <c r="B18" s="24" t="s">
        <v>43</v>
      </c>
      <c r="C18" s="24">
        <v>100</v>
      </c>
      <c r="D18" s="24" t="s">
        <v>39</v>
      </c>
      <c r="H18" s="6">
        <v>-0.5</v>
      </c>
      <c r="I18" s="6" t="s">
        <v>43</v>
      </c>
      <c r="J18" s="6">
        <v>70</v>
      </c>
      <c r="K18" s="6" t="s">
        <v>37</v>
      </c>
      <c r="M18">
        <v>-0.32</v>
      </c>
      <c r="N18" t="s">
        <v>44</v>
      </c>
      <c r="O18">
        <v>112</v>
      </c>
      <c r="P18" t="s">
        <v>37</v>
      </c>
      <c r="T18">
        <v>0.3</v>
      </c>
      <c r="U18" t="s">
        <v>42</v>
      </c>
      <c r="V18">
        <v>168</v>
      </c>
      <c r="W18" t="s">
        <v>39</v>
      </c>
    </row>
    <row r="19" spans="1:23" x14ac:dyDescent="0.25">
      <c r="A19" s="6">
        <v>0.4</v>
      </c>
      <c r="B19" s="6" t="s">
        <v>43</v>
      </c>
      <c r="C19" s="6">
        <v>150</v>
      </c>
      <c r="D19" s="6" t="s">
        <v>39</v>
      </c>
      <c r="H19" s="24">
        <v>0</v>
      </c>
      <c r="I19" s="24" t="s">
        <v>43</v>
      </c>
      <c r="J19" s="24">
        <v>100</v>
      </c>
      <c r="K19" s="24" t="s">
        <v>39</v>
      </c>
      <c r="M19">
        <v>-1</v>
      </c>
      <c r="N19" t="s">
        <v>45</v>
      </c>
      <c r="O19">
        <v>92</v>
      </c>
      <c r="P19" t="s">
        <v>37</v>
      </c>
      <c r="T19">
        <v>-1</v>
      </c>
      <c r="U19" t="s">
        <v>44</v>
      </c>
      <c r="V19">
        <v>82</v>
      </c>
      <c r="W19" t="s">
        <v>37</v>
      </c>
    </row>
    <row r="20" spans="1:23" x14ac:dyDescent="0.25">
      <c r="A20">
        <v>-1</v>
      </c>
      <c r="B20" t="s">
        <v>46</v>
      </c>
      <c r="C20">
        <v>74</v>
      </c>
      <c r="D20" t="s">
        <v>37</v>
      </c>
      <c r="H20" s="6">
        <v>0.5</v>
      </c>
      <c r="I20" s="6" t="s">
        <v>43</v>
      </c>
      <c r="J20" s="6">
        <v>175</v>
      </c>
      <c r="K20" s="6" t="s">
        <v>39</v>
      </c>
      <c r="M20">
        <v>-0.5</v>
      </c>
      <c r="N20" t="s">
        <v>45</v>
      </c>
      <c r="O20">
        <v>112</v>
      </c>
      <c r="P20" t="s">
        <v>37</v>
      </c>
      <c r="T20">
        <v>-0.5</v>
      </c>
      <c r="U20" t="s">
        <v>44</v>
      </c>
      <c r="V20">
        <v>100</v>
      </c>
      <c r="W20" t="s">
        <v>37</v>
      </c>
    </row>
    <row r="21" spans="1:23" x14ac:dyDescent="0.25">
      <c r="A21">
        <v>-0.5</v>
      </c>
      <c r="B21" t="s">
        <v>46</v>
      </c>
      <c r="C21">
        <v>85</v>
      </c>
      <c r="D21" t="s">
        <v>37</v>
      </c>
      <c r="H21" s="6">
        <v>0.61</v>
      </c>
      <c r="I21" s="6" t="s">
        <v>43</v>
      </c>
      <c r="J21" s="6">
        <v>216</v>
      </c>
      <c r="K21" s="6" t="s">
        <v>39</v>
      </c>
      <c r="T21">
        <v>0</v>
      </c>
      <c r="U21" t="s">
        <v>44</v>
      </c>
      <c r="V21">
        <v>137</v>
      </c>
      <c r="W21" t="s">
        <v>39</v>
      </c>
    </row>
    <row r="22" spans="1:23" x14ac:dyDescent="0.25">
      <c r="A22">
        <v>0</v>
      </c>
      <c r="B22" t="s">
        <v>46</v>
      </c>
      <c r="C22">
        <v>105</v>
      </c>
      <c r="D22" t="s">
        <v>39</v>
      </c>
      <c r="H22">
        <v>-1</v>
      </c>
      <c r="I22" t="s">
        <v>46</v>
      </c>
      <c r="J22">
        <v>74</v>
      </c>
      <c r="K22" t="s">
        <v>37</v>
      </c>
      <c r="T22">
        <v>0.2</v>
      </c>
      <c r="U22" t="s">
        <v>44</v>
      </c>
      <c r="V22">
        <v>168</v>
      </c>
      <c r="W22" t="s">
        <v>39</v>
      </c>
    </row>
    <row r="23" spans="1:23" x14ac:dyDescent="0.25">
      <c r="A23">
        <v>0.3</v>
      </c>
      <c r="B23" t="s">
        <v>46</v>
      </c>
      <c r="C23">
        <v>150</v>
      </c>
      <c r="D23" t="s">
        <v>39</v>
      </c>
      <c r="H23">
        <v>-0.5</v>
      </c>
      <c r="I23" t="s">
        <v>46</v>
      </c>
      <c r="J23">
        <v>85</v>
      </c>
      <c r="K23" t="s">
        <v>37</v>
      </c>
      <c r="T23">
        <v>-1</v>
      </c>
      <c r="U23" t="s">
        <v>45</v>
      </c>
      <c r="V23">
        <v>92</v>
      </c>
      <c r="W23" t="s">
        <v>37</v>
      </c>
    </row>
    <row r="24" spans="1:23" x14ac:dyDescent="0.25">
      <c r="A24">
        <v>-1</v>
      </c>
      <c r="B24" t="s">
        <v>47</v>
      </c>
      <c r="C24">
        <v>83</v>
      </c>
      <c r="D24" t="s">
        <v>37</v>
      </c>
      <c r="H24">
        <v>0</v>
      </c>
      <c r="I24" t="s">
        <v>46</v>
      </c>
      <c r="J24">
        <v>110</v>
      </c>
      <c r="K24" t="s">
        <v>39</v>
      </c>
      <c r="T24">
        <v>-0.5</v>
      </c>
      <c r="U24" t="s">
        <v>45</v>
      </c>
      <c r="V24">
        <v>114</v>
      </c>
      <c r="W24" t="s">
        <v>37</v>
      </c>
    </row>
    <row r="25" spans="1:23" x14ac:dyDescent="0.25">
      <c r="A25">
        <v>-0.5</v>
      </c>
      <c r="B25" t="s">
        <v>47</v>
      </c>
      <c r="C25">
        <v>98</v>
      </c>
      <c r="D25" t="s">
        <v>37</v>
      </c>
      <c r="H25">
        <v>0.55000000000000004</v>
      </c>
      <c r="I25" t="s">
        <v>46</v>
      </c>
      <c r="J25">
        <v>216</v>
      </c>
      <c r="K25" t="s">
        <v>39</v>
      </c>
      <c r="T25">
        <v>0</v>
      </c>
      <c r="U25" t="s">
        <v>45</v>
      </c>
      <c r="V25">
        <v>155</v>
      </c>
      <c r="W25" t="s">
        <v>39</v>
      </c>
    </row>
    <row r="26" spans="1:23" x14ac:dyDescent="0.25">
      <c r="A26">
        <v>0</v>
      </c>
      <c r="B26" t="s">
        <v>47</v>
      </c>
      <c r="C26">
        <v>125</v>
      </c>
      <c r="D26" t="s">
        <v>39</v>
      </c>
      <c r="H26">
        <v>-1</v>
      </c>
      <c r="I26" t="s">
        <v>47</v>
      </c>
      <c r="J26">
        <v>83</v>
      </c>
      <c r="K26" t="s">
        <v>37</v>
      </c>
      <c r="T26">
        <v>0.1</v>
      </c>
      <c r="U26" t="s">
        <v>45</v>
      </c>
      <c r="V26">
        <v>168</v>
      </c>
      <c r="W26" t="s">
        <v>39</v>
      </c>
    </row>
    <row r="27" spans="1:23" x14ac:dyDescent="0.25">
      <c r="A27">
        <v>0.2</v>
      </c>
      <c r="B27" t="s">
        <v>47</v>
      </c>
      <c r="C27">
        <v>150</v>
      </c>
      <c r="D27" t="s">
        <v>39</v>
      </c>
      <c r="H27">
        <v>-0.5</v>
      </c>
      <c r="I27" t="s">
        <v>47</v>
      </c>
      <c r="J27">
        <v>96</v>
      </c>
      <c r="K27" t="s">
        <v>37</v>
      </c>
    </row>
    <row r="28" spans="1:23" x14ac:dyDescent="0.25">
      <c r="A28">
        <v>-1</v>
      </c>
      <c r="B28" t="s">
        <v>48</v>
      </c>
      <c r="C28">
        <v>90</v>
      </c>
      <c r="D28" t="s">
        <v>37</v>
      </c>
      <c r="H28">
        <v>0</v>
      </c>
      <c r="I28" t="s">
        <v>47</v>
      </c>
      <c r="J28">
        <v>120</v>
      </c>
      <c r="K28" t="s">
        <v>39</v>
      </c>
    </row>
    <row r="29" spans="1:23" x14ac:dyDescent="0.25">
      <c r="A29">
        <v>-0.5</v>
      </c>
      <c r="B29" t="s">
        <v>48</v>
      </c>
      <c r="C29">
        <v>105</v>
      </c>
      <c r="D29" t="s">
        <v>37</v>
      </c>
      <c r="H29">
        <v>0.5</v>
      </c>
      <c r="I29" t="s">
        <v>47</v>
      </c>
      <c r="J29">
        <v>216</v>
      </c>
      <c r="K29" t="s">
        <v>39</v>
      </c>
    </row>
    <row r="30" spans="1:23" x14ac:dyDescent="0.25">
      <c r="A30">
        <v>0</v>
      </c>
      <c r="B30" t="s">
        <v>48</v>
      </c>
      <c r="C30">
        <v>138</v>
      </c>
      <c r="D30" t="s">
        <v>39</v>
      </c>
      <c r="H30">
        <v>-1</v>
      </c>
      <c r="I30" t="s">
        <v>48</v>
      </c>
      <c r="J30">
        <v>94</v>
      </c>
      <c r="K30" t="s">
        <v>37</v>
      </c>
    </row>
    <row r="31" spans="1:23" x14ac:dyDescent="0.25">
      <c r="A31">
        <v>0.1</v>
      </c>
      <c r="B31" t="s">
        <v>48</v>
      </c>
      <c r="C31">
        <v>150</v>
      </c>
      <c r="D31" t="s">
        <v>39</v>
      </c>
      <c r="H31">
        <v>-0.5</v>
      </c>
      <c r="I31" t="s">
        <v>48</v>
      </c>
      <c r="J31">
        <v>110</v>
      </c>
      <c r="K31" t="s">
        <v>37</v>
      </c>
    </row>
    <row r="32" spans="1:23" x14ac:dyDescent="0.25">
      <c r="A32">
        <v>-1</v>
      </c>
      <c r="B32" t="s">
        <v>49</v>
      </c>
      <c r="C32">
        <v>97</v>
      </c>
      <c r="D32" t="s">
        <v>37</v>
      </c>
      <c r="H32">
        <v>0</v>
      </c>
      <c r="I32" t="s">
        <v>48</v>
      </c>
      <c r="J32">
        <v>146</v>
      </c>
      <c r="K32" t="s">
        <v>39</v>
      </c>
    </row>
    <row r="33" spans="1:11" x14ac:dyDescent="0.25">
      <c r="A33">
        <v>-0.5</v>
      </c>
      <c r="B33" t="s">
        <v>49</v>
      </c>
      <c r="C33">
        <v>114</v>
      </c>
      <c r="D33" t="s">
        <v>37</v>
      </c>
      <c r="H33">
        <v>0.5</v>
      </c>
      <c r="I33" t="s">
        <v>48</v>
      </c>
      <c r="J33">
        <v>240</v>
      </c>
      <c r="K33" t="s">
        <v>39</v>
      </c>
    </row>
    <row r="34" spans="1:11" x14ac:dyDescent="0.25">
      <c r="A34">
        <v>0</v>
      </c>
      <c r="B34" t="s">
        <v>49</v>
      </c>
      <c r="C34">
        <v>150</v>
      </c>
      <c r="D34" t="s">
        <v>39</v>
      </c>
      <c r="H34">
        <v>-1</v>
      </c>
      <c r="I34" t="s">
        <v>49</v>
      </c>
      <c r="J34">
        <v>105</v>
      </c>
      <c r="K34" t="s">
        <v>37</v>
      </c>
    </row>
    <row r="35" spans="1:11" x14ac:dyDescent="0.25">
      <c r="A35">
        <v>0.09</v>
      </c>
      <c r="B35" t="s">
        <v>49</v>
      </c>
      <c r="C35">
        <v>160</v>
      </c>
      <c r="D35" t="s">
        <v>39</v>
      </c>
      <c r="H35">
        <v>-0.5</v>
      </c>
      <c r="I35" t="s">
        <v>49</v>
      </c>
      <c r="J35">
        <v>122</v>
      </c>
      <c r="K35" t="s">
        <v>37</v>
      </c>
    </row>
    <row r="36" spans="1:11" x14ac:dyDescent="0.25">
      <c r="A36">
        <v>-1</v>
      </c>
      <c r="B36" t="s">
        <v>50</v>
      </c>
      <c r="C36">
        <v>105</v>
      </c>
      <c r="D36" t="s">
        <v>37</v>
      </c>
      <c r="H36">
        <v>0</v>
      </c>
      <c r="I36" t="s">
        <v>49</v>
      </c>
      <c r="J36">
        <v>160</v>
      </c>
      <c r="K36" t="s">
        <v>39</v>
      </c>
    </row>
    <row r="37" spans="1:11" x14ac:dyDescent="0.25">
      <c r="A37">
        <v>-0.5</v>
      </c>
      <c r="B37" t="s">
        <v>50</v>
      </c>
      <c r="C37">
        <v>123</v>
      </c>
      <c r="D37" t="s">
        <v>37</v>
      </c>
      <c r="H37">
        <v>0.4</v>
      </c>
      <c r="I37" t="s">
        <v>49</v>
      </c>
      <c r="J37">
        <v>240</v>
      </c>
      <c r="K37" t="s">
        <v>39</v>
      </c>
    </row>
    <row r="38" spans="1:11" x14ac:dyDescent="0.25">
      <c r="A38">
        <v>0</v>
      </c>
      <c r="B38" t="s">
        <v>50</v>
      </c>
      <c r="C38">
        <v>160</v>
      </c>
      <c r="D38" t="s">
        <v>39</v>
      </c>
      <c r="H38">
        <v>-1</v>
      </c>
      <c r="I38" t="s">
        <v>50</v>
      </c>
      <c r="J38">
        <v>118</v>
      </c>
      <c r="K38" t="s">
        <v>37</v>
      </c>
    </row>
    <row r="39" spans="1:11" x14ac:dyDescent="0.25">
      <c r="A39" s="24">
        <v>-1</v>
      </c>
      <c r="B39" s="24" t="s">
        <v>51</v>
      </c>
      <c r="C39" s="24">
        <v>114</v>
      </c>
      <c r="D39" s="24" t="s">
        <v>37</v>
      </c>
      <c r="H39">
        <v>-0.5</v>
      </c>
      <c r="I39" t="s">
        <v>50</v>
      </c>
      <c r="J39">
        <v>135</v>
      </c>
      <c r="K39" t="s">
        <v>37</v>
      </c>
    </row>
    <row r="40" spans="1:11" x14ac:dyDescent="0.25">
      <c r="A40" s="6">
        <v>-0.5</v>
      </c>
      <c r="B40" s="6" t="s">
        <v>51</v>
      </c>
      <c r="C40" s="6">
        <v>135</v>
      </c>
      <c r="D40" s="6" t="s">
        <v>37</v>
      </c>
      <c r="H40">
        <v>0</v>
      </c>
      <c r="I40" t="s">
        <v>50</v>
      </c>
      <c r="J40">
        <v>180</v>
      </c>
      <c r="K40" t="s">
        <v>39</v>
      </c>
    </row>
    <row r="41" spans="1:11" x14ac:dyDescent="0.25">
      <c r="A41" s="6">
        <v>-0.15</v>
      </c>
      <c r="B41" s="6" t="s">
        <v>51</v>
      </c>
      <c r="C41" s="6">
        <v>160</v>
      </c>
      <c r="D41" s="6" t="s">
        <v>37</v>
      </c>
      <c r="H41">
        <v>0.3</v>
      </c>
      <c r="I41" t="s">
        <v>50</v>
      </c>
      <c r="J41">
        <v>240</v>
      </c>
      <c r="K41" t="s">
        <v>39</v>
      </c>
    </row>
    <row r="42" spans="1:11" x14ac:dyDescent="0.25">
      <c r="A42">
        <v>-1</v>
      </c>
      <c r="B42" t="s">
        <v>52</v>
      </c>
      <c r="C42">
        <v>123</v>
      </c>
      <c r="D42" t="s">
        <v>37</v>
      </c>
      <c r="H42" s="24">
        <v>-1</v>
      </c>
      <c r="I42" s="24" t="s">
        <v>51</v>
      </c>
      <c r="J42" s="24">
        <v>133</v>
      </c>
      <c r="K42" s="24" t="s">
        <v>37</v>
      </c>
    </row>
    <row r="43" spans="1:11" x14ac:dyDescent="0.25">
      <c r="A43">
        <v>-0.5</v>
      </c>
      <c r="B43" t="s">
        <v>53</v>
      </c>
      <c r="C43">
        <v>145</v>
      </c>
      <c r="D43" t="s">
        <v>37</v>
      </c>
      <c r="H43" s="6">
        <v>-0.5</v>
      </c>
      <c r="I43" s="6" t="s">
        <v>51</v>
      </c>
      <c r="J43" s="6">
        <v>160</v>
      </c>
      <c r="K43" s="6" t="s">
        <v>37</v>
      </c>
    </row>
    <row r="44" spans="1:11" x14ac:dyDescent="0.25">
      <c r="A44">
        <v>-0.3</v>
      </c>
      <c r="B44" t="s">
        <v>53</v>
      </c>
      <c r="C44">
        <v>160</v>
      </c>
      <c r="D44" t="s">
        <v>37</v>
      </c>
      <c r="H44" s="24">
        <v>0</v>
      </c>
      <c r="I44" s="24" t="s">
        <v>51</v>
      </c>
      <c r="J44" s="24">
        <v>205</v>
      </c>
      <c r="K44" s="24" t="s">
        <v>39</v>
      </c>
    </row>
    <row r="45" spans="1:11" x14ac:dyDescent="0.25">
      <c r="H45" s="6">
        <v>0.2</v>
      </c>
      <c r="I45" s="6" t="s">
        <v>51</v>
      </c>
      <c r="J45" s="6">
        <v>240</v>
      </c>
      <c r="K45" s="6" t="s">
        <v>39</v>
      </c>
    </row>
    <row r="46" spans="1:11" x14ac:dyDescent="0.25">
      <c r="H46">
        <v>-1</v>
      </c>
      <c r="I46" t="s">
        <v>52</v>
      </c>
      <c r="J46">
        <v>150</v>
      </c>
      <c r="K46" t="s">
        <v>37</v>
      </c>
    </row>
    <row r="47" spans="1:11" x14ac:dyDescent="0.25">
      <c r="H47">
        <v>-0.5</v>
      </c>
      <c r="I47" t="s">
        <v>53</v>
      </c>
      <c r="J47">
        <v>175</v>
      </c>
      <c r="K47" t="s">
        <v>37</v>
      </c>
    </row>
    <row r="48" spans="1:11" x14ac:dyDescent="0.25">
      <c r="H48">
        <v>0</v>
      </c>
      <c r="I48" t="s">
        <v>53</v>
      </c>
      <c r="J48">
        <v>225</v>
      </c>
      <c r="K48" t="s">
        <v>39</v>
      </c>
    </row>
    <row r="49" spans="8:11" x14ac:dyDescent="0.25">
      <c r="H49">
        <v>0.05</v>
      </c>
      <c r="I49" t="s">
        <v>53</v>
      </c>
      <c r="J49">
        <v>240</v>
      </c>
      <c r="K49" t="s">
        <v>39</v>
      </c>
    </row>
  </sheetData>
  <sheetProtection algorithmName="SHA-512" hashValue="kDh9XdfL0d6pwL5+fZnEdRqLvrTntR4TLyI/DICdABBSHoL6BKAKAMUtd8kEuuPiVBtXXDj1RrqdNo+OGKM/YQ==" saltValue="hvjtjBvvJhFo4z5MKD+2m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3022-DCB1-4C9D-816C-D6D90E5BEF53}">
  <dimension ref="B1:AX40"/>
  <sheetViews>
    <sheetView workbookViewId="0">
      <selection activeCell="D7" sqref="D7"/>
    </sheetView>
  </sheetViews>
  <sheetFormatPr baseColWidth="10" defaultRowHeight="15" x14ac:dyDescent="0.25"/>
  <cols>
    <col min="4" max="4" width="12.5703125" bestFit="1" customWidth="1"/>
    <col min="11" max="11" width="14.28515625" bestFit="1" customWidth="1"/>
    <col min="12" max="12" width="15.28515625" bestFit="1" customWidth="1"/>
    <col min="16" max="16" width="12.42578125" bestFit="1" customWidth="1"/>
    <col min="41" max="41" width="1.7109375" customWidth="1"/>
  </cols>
  <sheetData>
    <row r="1" spans="2:50" ht="15.75" thickBot="1" x14ac:dyDescent="0.3"/>
    <row r="2" spans="2:50" x14ac:dyDescent="0.25">
      <c r="B2" s="25" t="s">
        <v>54</v>
      </c>
      <c r="C2" s="26" t="e">
        <f>#REF!</f>
        <v>#REF!</v>
      </c>
      <c r="D2" s="26" t="e">
        <f>#REF!</f>
        <v>#REF!</v>
      </c>
      <c r="E2" s="26" t="e">
        <f>#REF!</f>
        <v>#REF!</v>
      </c>
      <c r="F2" s="10"/>
      <c r="G2" s="10"/>
      <c r="H2" s="10" t="s">
        <v>31</v>
      </c>
      <c r="I2" s="10"/>
      <c r="J2" s="10"/>
      <c r="K2" s="10"/>
      <c r="L2" s="10"/>
      <c r="M2" s="10"/>
      <c r="N2" s="10"/>
      <c r="O2" s="10"/>
      <c r="P2" s="10"/>
      <c r="Q2" s="11"/>
      <c r="W2" s="10"/>
      <c r="X2" s="10"/>
      <c r="Y2" s="10" t="s">
        <v>29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2:50" ht="15.75" thickBot="1" x14ac:dyDescent="0.3">
      <c r="B3" s="66" t="s">
        <v>3</v>
      </c>
      <c r="C3" s="67"/>
      <c r="D3" s="67"/>
      <c r="E3" s="67"/>
      <c r="F3" s="67"/>
      <c r="G3" s="67"/>
      <c r="H3" s="67" t="s">
        <v>19</v>
      </c>
      <c r="I3" s="67"/>
      <c r="J3" s="67"/>
      <c r="K3" s="67"/>
      <c r="L3" s="67"/>
      <c r="M3" s="67"/>
      <c r="Q3" s="3"/>
      <c r="S3" s="68" t="s">
        <v>3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68" t="s">
        <v>19</v>
      </c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2:50" ht="15.75" thickBot="1" x14ac:dyDescent="0.3">
      <c r="B4" s="27" t="s">
        <v>38</v>
      </c>
      <c r="C4" s="28" t="s">
        <v>21</v>
      </c>
      <c r="D4" s="28" t="s">
        <v>40</v>
      </c>
      <c r="E4" s="28" t="s">
        <v>42</v>
      </c>
      <c r="F4" s="28" t="s">
        <v>44</v>
      </c>
      <c r="G4" s="28" t="s">
        <v>45</v>
      </c>
      <c r="H4" s="28" t="s">
        <v>38</v>
      </c>
      <c r="I4" s="28" t="s">
        <v>21</v>
      </c>
      <c r="J4" s="28" t="s">
        <v>40</v>
      </c>
      <c r="K4" s="28" t="s">
        <v>42</v>
      </c>
      <c r="L4" s="28" t="s">
        <v>44</v>
      </c>
      <c r="M4" s="28" t="s">
        <v>45</v>
      </c>
      <c r="N4" s="29" t="s">
        <v>3</v>
      </c>
      <c r="O4" s="29" t="s">
        <v>19</v>
      </c>
      <c r="P4" s="29" t="s">
        <v>55</v>
      </c>
      <c r="Q4" s="30" t="s">
        <v>34</v>
      </c>
      <c r="S4" s="31" t="s">
        <v>36</v>
      </c>
      <c r="T4" s="29" t="s">
        <v>20</v>
      </c>
      <c r="U4" s="29" t="s">
        <v>41</v>
      </c>
      <c r="V4" s="29" t="s">
        <v>43</v>
      </c>
      <c r="W4" s="29" t="s">
        <v>46</v>
      </c>
      <c r="X4" s="29" t="s">
        <v>47</v>
      </c>
      <c r="Y4" s="29" t="s">
        <v>48</v>
      </c>
      <c r="Z4" s="29" t="s">
        <v>49</v>
      </c>
      <c r="AA4" s="29" t="s">
        <v>50</v>
      </c>
      <c r="AB4" s="29" t="s">
        <v>51</v>
      </c>
      <c r="AC4" s="29" t="s">
        <v>53</v>
      </c>
      <c r="AD4" s="29" t="s">
        <v>36</v>
      </c>
      <c r="AE4" s="29" t="s">
        <v>20</v>
      </c>
      <c r="AF4" s="29" t="s">
        <v>41</v>
      </c>
      <c r="AG4" s="29" t="s">
        <v>43</v>
      </c>
      <c r="AH4" s="29" t="s">
        <v>46</v>
      </c>
      <c r="AI4" s="29" t="s">
        <v>47</v>
      </c>
      <c r="AJ4" s="29" t="s">
        <v>48</v>
      </c>
      <c r="AK4" s="29" t="s">
        <v>49</v>
      </c>
      <c r="AL4" s="29" t="s">
        <v>50</v>
      </c>
      <c r="AM4" s="29" t="s">
        <v>51</v>
      </c>
      <c r="AN4" s="29" t="s">
        <v>53</v>
      </c>
      <c r="AP4" s="25" t="s">
        <v>54</v>
      </c>
      <c r="AQ4" s="26" t="e">
        <f>C2</f>
        <v>#REF!</v>
      </c>
      <c r="AR4" s="26" t="e">
        <f>#REF!</f>
        <v>#REF!</v>
      </c>
      <c r="AS4" s="26" t="e">
        <f>#REF!</f>
        <v>#REF!</v>
      </c>
      <c r="AU4" s="25" t="s">
        <v>54</v>
      </c>
      <c r="AV4" s="26" t="e">
        <f>#REF!</f>
        <v>#REF!</v>
      </c>
      <c r="AW4" s="26" t="e">
        <f>#REF!</f>
        <v>#REF!</v>
      </c>
      <c r="AX4" s="32" t="e">
        <f>#REF!</f>
        <v>#REF!</v>
      </c>
    </row>
    <row r="5" spans="2:50" x14ac:dyDescent="0.25">
      <c r="B5" s="33">
        <f>Daten!M3</f>
        <v>-1</v>
      </c>
      <c r="C5" s="34">
        <f>Daten!M7</f>
        <v>-1</v>
      </c>
      <c r="D5" s="34">
        <f>Daten!$M10</f>
        <v>-1</v>
      </c>
      <c r="E5" s="34">
        <f>Daten!$M13</f>
        <v>-1</v>
      </c>
      <c r="F5" s="34">
        <f>Daten!$M16</f>
        <v>-1</v>
      </c>
      <c r="G5" s="34">
        <f>Daten!$M19</f>
        <v>-1</v>
      </c>
      <c r="H5" s="34">
        <f>Daten!T3</f>
        <v>-1</v>
      </c>
      <c r="I5" s="34">
        <f>Daten!T7</f>
        <v>-1</v>
      </c>
      <c r="J5" s="34">
        <f>Daten!T11</f>
        <v>-1</v>
      </c>
      <c r="K5" s="34">
        <f>Daten!T15</f>
        <v>-1</v>
      </c>
      <c r="L5" s="34">
        <f>Daten!T19</f>
        <v>-1</v>
      </c>
      <c r="M5" s="34">
        <f>Daten!T23</f>
        <v>-1</v>
      </c>
      <c r="N5" t="e" cm="1">
        <f t="array" ref="N5">_xlfn.XLOOKUP(D2,B4:G4,B5:G8)</f>
        <v>#REF!</v>
      </c>
      <c r="O5" t="e" cm="1">
        <f t="array" ref="O5">_xlfn.XLOOKUP(D2,H4:M4,H5:M8)</f>
        <v>#REF!</v>
      </c>
      <c r="P5" t="e" cm="1">
        <f t="array" ref="P5">_xlfn.XLOOKUP(C2,N4:O4,N5:O8)</f>
        <v>#REF!</v>
      </c>
      <c r="Q5" s="3" t="e">
        <f>_xlfn.XLOOKUP(E2,P5:P8,P10:P13)</f>
        <v>#REF!</v>
      </c>
      <c r="S5" s="33">
        <f>Daten!A3</f>
        <v>-1</v>
      </c>
      <c r="T5" s="34">
        <f>Daten!A8</f>
        <v>-1</v>
      </c>
      <c r="U5" s="34">
        <f>Daten!A12</f>
        <v>-1</v>
      </c>
      <c r="V5" s="34">
        <f>Daten!A16</f>
        <v>-1</v>
      </c>
      <c r="W5" s="34">
        <f>Daten!A20</f>
        <v>-1</v>
      </c>
      <c r="X5" s="34">
        <f>Daten!A24</f>
        <v>-1</v>
      </c>
      <c r="Y5" s="34">
        <f>Daten!A28</f>
        <v>-1</v>
      </c>
      <c r="Z5" s="34">
        <f>Daten!A32</f>
        <v>-1</v>
      </c>
      <c r="AA5" s="34">
        <f>Daten!A36</f>
        <v>-1</v>
      </c>
      <c r="AB5" s="34">
        <f>Daten!A39</f>
        <v>-1</v>
      </c>
      <c r="AC5" s="34">
        <f>Daten!A42</f>
        <v>-1</v>
      </c>
      <c r="AD5" s="34">
        <f>Daten!H3</f>
        <v>-1</v>
      </c>
      <c r="AE5" s="34">
        <f>Daten!H8</f>
        <v>-1</v>
      </c>
      <c r="AF5" s="34">
        <f>Daten!H13</f>
        <v>-1</v>
      </c>
      <c r="AG5" s="34">
        <f>Daten!H17</f>
        <v>-1</v>
      </c>
      <c r="AH5" s="34">
        <f>Daten!H22</f>
        <v>-1</v>
      </c>
      <c r="AI5" s="34">
        <f>Daten!H26</f>
        <v>-1</v>
      </c>
      <c r="AJ5" s="34">
        <f>Daten!H30</f>
        <v>-1</v>
      </c>
      <c r="AK5" s="34">
        <f>Daten!H34</f>
        <v>-1</v>
      </c>
      <c r="AL5" s="34">
        <f>Daten!H38</f>
        <v>-1</v>
      </c>
      <c r="AM5" s="34">
        <f>Daten!H42</f>
        <v>-1</v>
      </c>
      <c r="AN5" s="34">
        <f>Daten!H46</f>
        <v>-1</v>
      </c>
      <c r="AP5" s="63" t="s">
        <v>56</v>
      </c>
      <c r="AQ5" s="64"/>
      <c r="AR5" s="64"/>
      <c r="AS5" s="65"/>
      <c r="AU5" s="63" t="s">
        <v>56</v>
      </c>
      <c r="AV5" s="64"/>
      <c r="AW5" s="64"/>
      <c r="AX5" s="65"/>
    </row>
    <row r="6" spans="2:50" x14ac:dyDescent="0.25">
      <c r="B6" s="35">
        <f>Daten!M4</f>
        <v>-0.5</v>
      </c>
      <c r="C6" s="36">
        <f>Daten!M8</f>
        <v>-0.5</v>
      </c>
      <c r="D6" s="36">
        <f>Daten!$M11</f>
        <v>-0.5</v>
      </c>
      <c r="E6" s="36">
        <f>Daten!$M14</f>
        <v>-0.5</v>
      </c>
      <c r="F6" s="36">
        <f>Daten!$M17</f>
        <v>-0.5</v>
      </c>
      <c r="G6" s="36">
        <f>Daten!$M20</f>
        <v>-0.5</v>
      </c>
      <c r="H6" s="36">
        <f>Daten!T4</f>
        <v>-0.5</v>
      </c>
      <c r="I6" s="36">
        <f>Daten!T8</f>
        <v>-0.5</v>
      </c>
      <c r="J6" s="36">
        <f>Daten!T12</f>
        <v>-0.5</v>
      </c>
      <c r="K6" s="36">
        <f>Daten!T16</f>
        <v>-0.5</v>
      </c>
      <c r="L6" s="36">
        <f>Daten!T20</f>
        <v>-0.5</v>
      </c>
      <c r="M6" s="36">
        <f>Daten!T24</f>
        <v>-0.5</v>
      </c>
      <c r="Q6" s="3"/>
      <c r="S6" s="35">
        <f>Daten!A4</f>
        <v>-0.5</v>
      </c>
      <c r="T6" s="36">
        <f>Daten!A9</f>
        <v>-0.5</v>
      </c>
      <c r="U6" s="36">
        <f>Daten!A13</f>
        <v>-0.5</v>
      </c>
      <c r="V6" s="36">
        <f>Daten!A17</f>
        <v>-0.5</v>
      </c>
      <c r="W6" s="36">
        <f>Daten!A21</f>
        <v>-0.5</v>
      </c>
      <c r="X6" s="36">
        <f>Daten!A25</f>
        <v>-0.5</v>
      </c>
      <c r="Y6" s="36">
        <f>Daten!A29</f>
        <v>-0.5</v>
      </c>
      <c r="Z6" s="36">
        <f>Daten!A33</f>
        <v>-0.5</v>
      </c>
      <c r="AA6" s="36">
        <f>Daten!A37</f>
        <v>-0.5</v>
      </c>
      <c r="AB6" s="36">
        <f>Daten!A40</f>
        <v>-0.5</v>
      </c>
      <c r="AC6" s="36">
        <f>Daten!A43</f>
        <v>-0.5</v>
      </c>
      <c r="AD6" s="36">
        <f>Daten!H4</f>
        <v>-0.5</v>
      </c>
      <c r="AE6" s="36">
        <f>Daten!H9</f>
        <v>-0.5</v>
      </c>
      <c r="AF6" s="36">
        <f>Daten!H14</f>
        <v>-0.5</v>
      </c>
      <c r="AG6" s="36">
        <f>Daten!H18</f>
        <v>-0.5</v>
      </c>
      <c r="AH6" s="36">
        <f>Daten!H23</f>
        <v>-0.5</v>
      </c>
      <c r="AI6" s="36">
        <f>Daten!H27</f>
        <v>-0.5</v>
      </c>
      <c r="AJ6" s="36">
        <f>Daten!H31</f>
        <v>-0.5</v>
      </c>
      <c r="AK6" s="36">
        <f>Daten!H35</f>
        <v>-0.5</v>
      </c>
      <c r="AL6" s="36">
        <f>Daten!H39</f>
        <v>-0.5</v>
      </c>
      <c r="AM6" s="36">
        <f>Daten!H43</f>
        <v>-0.5</v>
      </c>
      <c r="AN6" s="36">
        <f>Daten!H47</f>
        <v>-0.5</v>
      </c>
      <c r="AP6" s="2"/>
      <c r="AS6" s="3"/>
      <c r="AU6" s="2"/>
      <c r="AX6" s="3"/>
    </row>
    <row r="7" spans="2:50" x14ac:dyDescent="0.25">
      <c r="B7" s="33">
        <f>Daten!M5</f>
        <v>0</v>
      </c>
      <c r="C7" s="34">
        <f>Daten!M9</f>
        <v>0</v>
      </c>
      <c r="D7" s="34">
        <f>Daten!$M12</f>
        <v>-0.18</v>
      </c>
      <c r="E7" s="34">
        <f>Daten!$M15</f>
        <v>-0.27</v>
      </c>
      <c r="F7" s="34">
        <f>Daten!$M18</f>
        <v>-0.32</v>
      </c>
      <c r="G7" s="34" t="str">
        <f>""</f>
        <v/>
      </c>
      <c r="H7" s="34">
        <f>Daten!T5</f>
        <v>0</v>
      </c>
      <c r="I7" s="34">
        <f>Daten!T9</f>
        <v>0</v>
      </c>
      <c r="J7" s="34">
        <f>Daten!T13</f>
        <v>0</v>
      </c>
      <c r="K7" s="34">
        <f>Daten!T17</f>
        <v>0</v>
      </c>
      <c r="L7" s="34">
        <f>Daten!T21</f>
        <v>0</v>
      </c>
      <c r="M7" s="34">
        <f>Daten!T25</f>
        <v>0</v>
      </c>
      <c r="Q7" s="3"/>
      <c r="S7" s="33">
        <f>Daten!A5</f>
        <v>0</v>
      </c>
      <c r="T7" s="34">
        <f>Daten!A10</f>
        <v>0</v>
      </c>
      <c r="U7" s="34">
        <f>Daten!A14</f>
        <v>0</v>
      </c>
      <c r="V7" s="34">
        <f>Daten!A18</f>
        <v>0</v>
      </c>
      <c r="W7" s="34">
        <f>Daten!A22</f>
        <v>0</v>
      </c>
      <c r="X7" s="34">
        <f>Daten!A26</f>
        <v>0</v>
      </c>
      <c r="Y7" s="34">
        <f>Daten!A30</f>
        <v>0</v>
      </c>
      <c r="Z7" s="34">
        <f>Daten!A34</f>
        <v>0</v>
      </c>
      <c r="AA7" s="34">
        <f>Daten!A38</f>
        <v>0</v>
      </c>
      <c r="AB7" s="34">
        <f>Daten!A41</f>
        <v>-0.15</v>
      </c>
      <c r="AC7" s="34">
        <f>Daten!A44</f>
        <v>-0.3</v>
      </c>
      <c r="AD7" s="34">
        <f>Daten!H5</f>
        <v>0</v>
      </c>
      <c r="AE7" s="34">
        <f>Daten!H10</f>
        <v>0</v>
      </c>
      <c r="AF7" s="34">
        <f>Daten!H15</f>
        <v>0</v>
      </c>
      <c r="AG7" s="34">
        <f>Daten!H19</f>
        <v>0</v>
      </c>
      <c r="AH7" s="34">
        <f>Daten!H24</f>
        <v>0</v>
      </c>
      <c r="AI7" s="34">
        <f>Daten!H28</f>
        <v>0</v>
      </c>
      <c r="AJ7" s="34">
        <f>Daten!H32</f>
        <v>0</v>
      </c>
      <c r="AK7" s="34">
        <f>Daten!H36</f>
        <v>0</v>
      </c>
      <c r="AL7" s="34">
        <f>Daten!H40</f>
        <v>0</v>
      </c>
      <c r="AM7" s="34">
        <f>Daten!H44</f>
        <v>0</v>
      </c>
      <c r="AN7" s="34">
        <f>Daten!H48</f>
        <v>0</v>
      </c>
      <c r="AP7" s="31" t="s">
        <v>3</v>
      </c>
      <c r="AQ7" s="29" t="s">
        <v>19</v>
      </c>
      <c r="AR7" s="29" t="s">
        <v>55</v>
      </c>
      <c r="AS7" s="30" t="s">
        <v>34</v>
      </c>
      <c r="AU7" s="31" t="s">
        <v>3</v>
      </c>
      <c r="AV7" s="29" t="s">
        <v>19</v>
      </c>
      <c r="AW7" s="29" t="s">
        <v>55</v>
      </c>
      <c r="AX7" s="30" t="s">
        <v>34</v>
      </c>
    </row>
    <row r="8" spans="2:50" x14ac:dyDescent="0.25">
      <c r="B8" s="37">
        <f>Daten!M6</f>
        <v>0.11</v>
      </c>
      <c r="C8" s="38" t="str">
        <f>""</f>
        <v/>
      </c>
      <c r="D8" s="38" t="str">
        <f>""</f>
        <v/>
      </c>
      <c r="E8" s="38" t="str">
        <f>""</f>
        <v/>
      </c>
      <c r="F8" s="38" t="str">
        <f>""</f>
        <v/>
      </c>
      <c r="G8" s="38" t="str">
        <f>""</f>
        <v/>
      </c>
      <c r="H8" s="38">
        <f>Daten!T6</f>
        <v>0.46</v>
      </c>
      <c r="I8" s="38">
        <f>Daten!T10</f>
        <v>0.4</v>
      </c>
      <c r="J8" s="38">
        <f>Daten!T14</f>
        <v>0.28000000000000003</v>
      </c>
      <c r="K8" s="38">
        <f>Daten!T18</f>
        <v>0.3</v>
      </c>
      <c r="L8" s="38">
        <f>Daten!T22</f>
        <v>0.2</v>
      </c>
      <c r="M8" s="38">
        <f>Daten!T26</f>
        <v>0.1</v>
      </c>
      <c r="Q8" s="3"/>
      <c r="S8" s="37">
        <f>Daten!A6</f>
        <v>0.5</v>
      </c>
      <c r="T8" s="38">
        <f>Daten!A11</f>
        <v>0.3</v>
      </c>
      <c r="U8" s="38">
        <f>Daten!A15</f>
        <v>0.2</v>
      </c>
      <c r="V8" s="38">
        <f>Daten!A19</f>
        <v>0.4</v>
      </c>
      <c r="W8" s="38">
        <f>Daten!A23</f>
        <v>0.3</v>
      </c>
      <c r="X8" s="38">
        <f>Daten!A27</f>
        <v>0.2</v>
      </c>
      <c r="Y8" s="38">
        <f>Daten!A31</f>
        <v>0.1</v>
      </c>
      <c r="Z8" s="38">
        <f>Daten!A35</f>
        <v>0.09</v>
      </c>
      <c r="AA8" s="38" t="str">
        <f>""</f>
        <v/>
      </c>
      <c r="AB8" s="38" t="str">
        <f>""</f>
        <v/>
      </c>
      <c r="AC8" s="38" t="str">
        <f>""</f>
        <v/>
      </c>
      <c r="AD8" s="38">
        <f>Daten!H6</f>
        <v>0.5</v>
      </c>
      <c r="AE8" s="38">
        <f>Daten!H11</f>
        <v>0.5</v>
      </c>
      <c r="AF8" s="38">
        <f>Daten!H16</f>
        <v>0.51</v>
      </c>
      <c r="AG8" s="38">
        <f>Daten!H20</f>
        <v>0.5</v>
      </c>
      <c r="AH8" s="38">
        <f>Daten!H25</f>
        <v>0.55000000000000004</v>
      </c>
      <c r="AI8" s="38">
        <f>Daten!H29</f>
        <v>0.5</v>
      </c>
      <c r="AJ8" s="38">
        <f>Daten!H33</f>
        <v>0.5</v>
      </c>
      <c r="AK8" s="38">
        <f>Daten!H37</f>
        <v>0.4</v>
      </c>
      <c r="AL8" s="38">
        <f>Daten!H41</f>
        <v>0.3</v>
      </c>
      <c r="AM8" s="38">
        <f>Daten!H45</f>
        <v>0.2</v>
      </c>
      <c r="AN8" s="38">
        <f>Daten!H49</f>
        <v>0.05</v>
      </c>
      <c r="AP8" s="2" t="e" cm="1">
        <f t="array" ref="AP8">_xlfn.XLOOKUP($AR$4,$S$4:$AC$4,$S$5:$AC$9)</f>
        <v>#REF!</v>
      </c>
      <c r="AQ8" t="e" cm="1">
        <f t="array" ref="AQ8">_xlfn.XLOOKUP($AR$4,$AD$4:$AN$4,$AD$5:$AN$9)</f>
        <v>#REF!</v>
      </c>
      <c r="AR8" t="e" cm="1">
        <f t="array" ref="AR8">_xlfn.XLOOKUP($AQ$4,$AP$7:$AQ$7,$AP$8:$AQ$12)</f>
        <v>#REF!</v>
      </c>
      <c r="AS8" s="3" t="e">
        <f>_xlfn.XLOOKUP(AS4,AR8:AR12,AR14:AR18)</f>
        <v>#REF!</v>
      </c>
      <c r="AU8" s="2" t="e" cm="1">
        <f t="array" ref="AU8">_xlfn.XLOOKUP($AW$4,$S$4:$AC$4,$S$5:$AC$9)</f>
        <v>#REF!</v>
      </c>
      <c r="AV8" t="e" cm="1">
        <f t="array" ref="AV8">_xlfn.XLOOKUP($AW$4,$AD$4:$AN$4,$AD$5:$AN$9)</f>
        <v>#REF!</v>
      </c>
      <c r="AW8" t="e" cm="1">
        <f t="array" ref="AW8">_xlfn.XLOOKUP($AV$4,$AU$7:$AV$7,$AU$8:$AV$12)</f>
        <v>#REF!</v>
      </c>
      <c r="AX8" s="3" t="e">
        <f>_xlfn.XLOOKUP(AX4,AW8:AW12,AW14:AW18)</f>
        <v>#REF!</v>
      </c>
    </row>
    <row r="9" spans="2:50" x14ac:dyDescent="0.25">
      <c r="B9" s="73" t="s">
        <v>34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30" t="s">
        <v>35</v>
      </c>
      <c r="S9" s="33">
        <f>Daten!A7</f>
        <v>0.65</v>
      </c>
      <c r="T9" s="34" t="str">
        <f>""</f>
        <v/>
      </c>
      <c r="U9" s="34" t="str">
        <f>""</f>
        <v/>
      </c>
      <c r="V9" s="34" t="str">
        <f>""</f>
        <v/>
      </c>
      <c r="W9" s="34" t="str">
        <f>""</f>
        <v/>
      </c>
      <c r="X9" s="34" t="str">
        <f>""</f>
        <v/>
      </c>
      <c r="Y9" s="34" t="str">
        <f>""</f>
        <v/>
      </c>
      <c r="Z9" s="34" t="str">
        <f>""</f>
        <v/>
      </c>
      <c r="AA9" s="34" t="str">
        <f>""</f>
        <v/>
      </c>
      <c r="AB9" s="34" t="str">
        <f>""</f>
        <v/>
      </c>
      <c r="AC9" s="34" t="str">
        <f>""</f>
        <v/>
      </c>
      <c r="AD9" s="34">
        <f>Daten!H7</f>
        <v>0.67</v>
      </c>
      <c r="AE9" s="34">
        <f>Daten!H12</f>
        <v>0.55000000000000004</v>
      </c>
      <c r="AF9" s="34" t="str">
        <f>""</f>
        <v/>
      </c>
      <c r="AG9" s="34">
        <f>Daten!H21</f>
        <v>0.61</v>
      </c>
      <c r="AH9" s="34" t="str">
        <f>""</f>
        <v/>
      </c>
      <c r="AI9" s="34" t="str">
        <f>""</f>
        <v/>
      </c>
      <c r="AJ9" s="34" t="str">
        <f>""</f>
        <v/>
      </c>
      <c r="AK9" s="34" t="str">
        <f>""</f>
        <v/>
      </c>
      <c r="AL9" s="34" t="str">
        <f>""</f>
        <v/>
      </c>
      <c r="AM9" s="34" t="str">
        <f>""</f>
        <v/>
      </c>
      <c r="AN9" s="34" t="str">
        <f>""</f>
        <v/>
      </c>
      <c r="AP9" s="2"/>
      <c r="AS9" s="3"/>
      <c r="AU9" s="2"/>
      <c r="AX9" s="3"/>
    </row>
    <row r="10" spans="2:50" x14ac:dyDescent="0.25">
      <c r="B10" s="33">
        <f>Daten!O3</f>
        <v>52</v>
      </c>
      <c r="C10" s="34">
        <f>Daten!O7</f>
        <v>59</v>
      </c>
      <c r="D10" s="34">
        <f>Daten!O10</f>
        <v>65</v>
      </c>
      <c r="E10" s="34">
        <f>Daten!O13</f>
        <v>73</v>
      </c>
      <c r="F10" s="34">
        <f>Daten!O16</f>
        <v>82</v>
      </c>
      <c r="G10" s="34">
        <f>Daten!O19</f>
        <v>92</v>
      </c>
      <c r="H10" s="34">
        <f>Daten!V3</f>
        <v>52</v>
      </c>
      <c r="I10" s="34">
        <f>Daten!V7</f>
        <v>59</v>
      </c>
      <c r="J10" s="34">
        <f>Daten!V11</f>
        <v>65</v>
      </c>
      <c r="K10" s="34">
        <f>Daten!V15</f>
        <v>73</v>
      </c>
      <c r="L10" s="34">
        <f>Daten!V19</f>
        <v>82</v>
      </c>
      <c r="M10" s="34">
        <f>Daten!V23</f>
        <v>92</v>
      </c>
      <c r="N10" t="e" cm="1">
        <f t="array" ref="N10">_xlfn.XLOOKUP(D2,B4:G4,B10:G13)</f>
        <v>#REF!</v>
      </c>
      <c r="O10" t="e" cm="1">
        <f t="array" ref="O10">_xlfn.XLOOKUP(D2,H4:M4,H10:M13)</f>
        <v>#REF!</v>
      </c>
      <c r="P10" t="e" cm="1">
        <f t="array" ref="P10">_xlfn.XLOOKUP(C2,N4:O4,N10:O13)</f>
        <v>#REF!</v>
      </c>
      <c r="Q10" s="3" t="e">
        <f>_xlfn.XLOOKUP(Q5,P10:P13,P15:P18)</f>
        <v>#REF!</v>
      </c>
      <c r="S10" s="75" t="s">
        <v>34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P10" s="2"/>
      <c r="AS10" s="3"/>
      <c r="AU10" s="2"/>
      <c r="AX10" s="3"/>
    </row>
    <row r="11" spans="2:50" x14ac:dyDescent="0.25">
      <c r="B11" s="35">
        <f>Daten!O4</f>
        <v>62</v>
      </c>
      <c r="C11" s="36">
        <f>Daten!O8</f>
        <v>72</v>
      </c>
      <c r="D11" s="36">
        <f>Daten!O11</f>
        <v>80</v>
      </c>
      <c r="E11" s="36">
        <f>Daten!O14</f>
        <v>90</v>
      </c>
      <c r="F11" s="36">
        <f>Daten!O17</f>
        <v>99</v>
      </c>
      <c r="G11" s="36">
        <f>Daten!O20</f>
        <v>112</v>
      </c>
      <c r="H11" s="36">
        <f>Daten!V4</f>
        <v>62</v>
      </c>
      <c r="I11" s="36">
        <f>Daten!V8</f>
        <v>63</v>
      </c>
      <c r="J11" s="36">
        <f>Daten!V12</f>
        <v>70</v>
      </c>
      <c r="K11" s="36">
        <f>Daten!V16</f>
        <v>95</v>
      </c>
      <c r="L11" s="36">
        <f>Daten!V20</f>
        <v>100</v>
      </c>
      <c r="M11" s="36">
        <f>Daten!V24</f>
        <v>114</v>
      </c>
      <c r="Q11" s="3"/>
      <c r="S11" s="33">
        <f>Daten!C3</f>
        <v>30</v>
      </c>
      <c r="T11" s="34">
        <f>Daten!C8</f>
        <v>52</v>
      </c>
      <c r="U11" s="34">
        <f>Daten!C12</f>
        <v>58</v>
      </c>
      <c r="V11" s="34">
        <f>Daten!C16</f>
        <v>66</v>
      </c>
      <c r="W11" s="34">
        <f>Daten!C20</f>
        <v>74</v>
      </c>
      <c r="X11" s="34">
        <f>Daten!C24</f>
        <v>83</v>
      </c>
      <c r="Y11" s="34">
        <f>Daten!C28</f>
        <v>90</v>
      </c>
      <c r="Z11" s="34">
        <f>Daten!C32</f>
        <v>97</v>
      </c>
      <c r="AA11" s="34">
        <f>Daten!C36</f>
        <v>105</v>
      </c>
      <c r="AB11" s="34">
        <f>Daten!C39</f>
        <v>114</v>
      </c>
      <c r="AC11" s="34">
        <f>Daten!C42</f>
        <v>123</v>
      </c>
      <c r="AD11" s="34">
        <f>Daten!J3</f>
        <v>30</v>
      </c>
      <c r="AE11" s="34">
        <f>Daten!J8</f>
        <v>52</v>
      </c>
      <c r="AF11" s="34">
        <f>Daten!J13</f>
        <v>58</v>
      </c>
      <c r="AG11" s="34">
        <f>Daten!J17</f>
        <v>66</v>
      </c>
      <c r="AH11" s="34">
        <f>Daten!J22</f>
        <v>74</v>
      </c>
      <c r="AI11" s="34">
        <f>Daten!J26</f>
        <v>83</v>
      </c>
      <c r="AJ11" s="34">
        <f>Daten!J30</f>
        <v>94</v>
      </c>
      <c r="AK11" s="34">
        <f>Daten!J34</f>
        <v>105</v>
      </c>
      <c r="AL11" s="34">
        <f>Daten!J38</f>
        <v>118</v>
      </c>
      <c r="AM11" s="34">
        <f>Daten!J42</f>
        <v>133</v>
      </c>
      <c r="AN11" s="34">
        <f>Daten!J46</f>
        <v>150</v>
      </c>
      <c r="AP11" s="2"/>
      <c r="AS11" s="3"/>
      <c r="AU11" s="2"/>
      <c r="AX11" s="3"/>
    </row>
    <row r="12" spans="2:50" x14ac:dyDescent="0.25">
      <c r="B12" s="33">
        <f>Daten!O5</f>
        <v>84</v>
      </c>
      <c r="C12" s="34">
        <f>Daten!O9</f>
        <v>95</v>
      </c>
      <c r="D12" s="34">
        <f>Daten!O12</f>
        <v>98</v>
      </c>
      <c r="E12" s="34">
        <f>Daten!O15</f>
        <v>112</v>
      </c>
      <c r="F12" s="34">
        <f>Daten!O18</f>
        <v>112</v>
      </c>
      <c r="G12" s="34" t="str">
        <f>""</f>
        <v/>
      </c>
      <c r="H12" s="34">
        <f>Daten!V5</f>
        <v>85</v>
      </c>
      <c r="I12" s="34">
        <f>Daten!V9</f>
        <v>100</v>
      </c>
      <c r="J12" s="34">
        <f>Daten!V13</f>
        <v>115</v>
      </c>
      <c r="K12" s="34">
        <f>Daten!V17</f>
        <v>125</v>
      </c>
      <c r="L12" s="34">
        <f>Daten!V21</f>
        <v>137</v>
      </c>
      <c r="M12" s="34">
        <f>Daten!V25</f>
        <v>155</v>
      </c>
      <c r="Q12" s="3"/>
      <c r="S12" s="35">
        <f>Daten!C4</f>
        <v>38</v>
      </c>
      <c r="T12" s="36">
        <f>Daten!C9</f>
        <v>70</v>
      </c>
      <c r="U12" s="36">
        <f>Daten!C13</f>
        <v>70</v>
      </c>
      <c r="V12" s="36">
        <f>Daten!C17</f>
        <v>76</v>
      </c>
      <c r="W12" s="36">
        <f>Daten!C21</f>
        <v>85</v>
      </c>
      <c r="X12" s="36">
        <f>Daten!C25</f>
        <v>98</v>
      </c>
      <c r="Y12" s="36">
        <f>Daten!C29</f>
        <v>105</v>
      </c>
      <c r="Z12" s="36">
        <f>Daten!C33</f>
        <v>114</v>
      </c>
      <c r="AA12" s="36">
        <f>Daten!C37</f>
        <v>123</v>
      </c>
      <c r="AB12" s="36">
        <f>Daten!C40</f>
        <v>135</v>
      </c>
      <c r="AC12" s="36">
        <f>Daten!C43</f>
        <v>145</v>
      </c>
      <c r="AD12" s="36">
        <f>Daten!J4</f>
        <v>35</v>
      </c>
      <c r="AE12" s="36">
        <f>Daten!J9</f>
        <v>60</v>
      </c>
      <c r="AF12" s="36">
        <f>Daten!J14</f>
        <v>60</v>
      </c>
      <c r="AG12" s="36">
        <f>Daten!J18</f>
        <v>70</v>
      </c>
      <c r="AH12" s="36">
        <f>Daten!J23</f>
        <v>85</v>
      </c>
      <c r="AI12" s="36">
        <f>Daten!J27</f>
        <v>96</v>
      </c>
      <c r="AJ12" s="36">
        <f>Daten!J31</f>
        <v>110</v>
      </c>
      <c r="AK12" s="36">
        <f>Daten!J35</f>
        <v>122</v>
      </c>
      <c r="AL12" s="36">
        <f>Daten!J39</f>
        <v>135</v>
      </c>
      <c r="AM12" s="36">
        <f>Daten!J43</f>
        <v>160</v>
      </c>
      <c r="AN12" s="36">
        <f>Daten!J47</f>
        <v>175</v>
      </c>
      <c r="AP12" s="2"/>
      <c r="AS12" s="3"/>
      <c r="AU12" s="2"/>
      <c r="AX12" s="3"/>
    </row>
    <row r="13" spans="2:50" x14ac:dyDescent="0.25">
      <c r="B13" s="37">
        <f>Daten!O6</f>
        <v>98</v>
      </c>
      <c r="C13" s="38" t="str">
        <f>""</f>
        <v/>
      </c>
      <c r="D13" s="38" t="str">
        <f>""</f>
        <v/>
      </c>
      <c r="E13" s="38" t="str">
        <f>""</f>
        <v/>
      </c>
      <c r="F13" s="38" t="str">
        <f>""</f>
        <v/>
      </c>
      <c r="G13" s="38" t="str">
        <f>""</f>
        <v/>
      </c>
      <c r="H13" s="38">
        <f>Daten!V6</f>
        <v>152</v>
      </c>
      <c r="I13" s="38">
        <f>Daten!V10</f>
        <v>152</v>
      </c>
      <c r="J13" s="38">
        <f>Daten!V14</f>
        <v>152</v>
      </c>
      <c r="K13" s="38">
        <f>Daten!V18</f>
        <v>168</v>
      </c>
      <c r="L13" s="38">
        <f>Daten!V22</f>
        <v>168</v>
      </c>
      <c r="M13" s="38">
        <f>Daten!V26</f>
        <v>168</v>
      </c>
      <c r="Q13" s="3"/>
      <c r="S13" s="33">
        <f>Daten!C5</f>
        <v>48</v>
      </c>
      <c r="T13" s="34">
        <f>Daten!C10</f>
        <v>80</v>
      </c>
      <c r="U13" s="34">
        <f>Daten!C14</f>
        <v>88</v>
      </c>
      <c r="V13" s="34">
        <f>Daten!C18</f>
        <v>100</v>
      </c>
      <c r="W13" s="34">
        <f>Daten!C22</f>
        <v>105</v>
      </c>
      <c r="X13" s="34">
        <f>Daten!C26</f>
        <v>125</v>
      </c>
      <c r="Y13" s="34">
        <f>Daten!C30</f>
        <v>138</v>
      </c>
      <c r="Z13" s="34">
        <f>Daten!C34</f>
        <v>150</v>
      </c>
      <c r="AA13" s="34">
        <f>Daten!C38</f>
        <v>160</v>
      </c>
      <c r="AB13" s="34">
        <f>Daten!C41</f>
        <v>160</v>
      </c>
      <c r="AC13" s="34">
        <f>Daten!C44</f>
        <v>160</v>
      </c>
      <c r="AD13" s="34">
        <f>Daten!J5</f>
        <v>47</v>
      </c>
      <c r="AE13" s="34">
        <f>Daten!J10</f>
        <v>70</v>
      </c>
      <c r="AF13" s="34">
        <f>Daten!J15</f>
        <v>85</v>
      </c>
      <c r="AG13" s="34">
        <f>Daten!J19</f>
        <v>100</v>
      </c>
      <c r="AH13" s="34">
        <f>Daten!J24</f>
        <v>110</v>
      </c>
      <c r="AI13" s="34">
        <f>Daten!J28</f>
        <v>120</v>
      </c>
      <c r="AJ13" s="34">
        <f>Daten!J32</f>
        <v>146</v>
      </c>
      <c r="AK13" s="34">
        <f>Daten!J36</f>
        <v>160</v>
      </c>
      <c r="AL13" s="34">
        <f>Daten!J40</f>
        <v>180</v>
      </c>
      <c r="AM13" s="34">
        <f>Daten!J44</f>
        <v>205</v>
      </c>
      <c r="AN13" s="34">
        <f>Daten!J48</f>
        <v>225</v>
      </c>
      <c r="AP13" s="2"/>
      <c r="AS13" s="30" t="s">
        <v>35</v>
      </c>
      <c r="AU13" s="2"/>
      <c r="AX13" s="30" t="s">
        <v>35</v>
      </c>
    </row>
    <row r="14" spans="2:50" x14ac:dyDescent="0.25">
      <c r="B14" s="73" t="s">
        <v>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3"/>
      <c r="S14" s="37">
        <f>Daten!C6</f>
        <v>73</v>
      </c>
      <c r="T14" s="38">
        <f>Daten!C11</f>
        <v>105</v>
      </c>
      <c r="U14" s="38">
        <f>Daten!C15</f>
        <v>105</v>
      </c>
      <c r="V14" s="38">
        <f>Daten!C19</f>
        <v>150</v>
      </c>
      <c r="W14" s="38">
        <f>Daten!C23</f>
        <v>150</v>
      </c>
      <c r="X14" s="38">
        <f>Daten!C27</f>
        <v>150</v>
      </c>
      <c r="Y14" s="38">
        <f>Daten!C31</f>
        <v>150</v>
      </c>
      <c r="Z14" s="38">
        <f>Daten!C35</f>
        <v>160</v>
      </c>
      <c r="AA14" s="38" t="str">
        <f>""</f>
        <v/>
      </c>
      <c r="AB14" s="38" t="str">
        <f>""</f>
        <v/>
      </c>
      <c r="AC14" s="38" t="str">
        <f>""</f>
        <v/>
      </c>
      <c r="AD14" s="38">
        <f>Daten!J6</f>
        <v>68</v>
      </c>
      <c r="AE14" s="38">
        <f>Daten!J11</f>
        <v>132</v>
      </c>
      <c r="AF14" s="38">
        <f>Daten!J16</f>
        <v>155</v>
      </c>
      <c r="AG14" s="38">
        <f>Daten!J20</f>
        <v>175</v>
      </c>
      <c r="AH14" s="38">
        <f>Daten!J25</f>
        <v>216</v>
      </c>
      <c r="AI14" s="38">
        <f>Daten!J29</f>
        <v>216</v>
      </c>
      <c r="AJ14" s="38">
        <f>Daten!J33</f>
        <v>240</v>
      </c>
      <c r="AK14" s="38">
        <f>Daten!J37</f>
        <v>240</v>
      </c>
      <c r="AL14" s="38">
        <f>Daten!J41</f>
        <v>240</v>
      </c>
      <c r="AM14" s="38">
        <f>Daten!J45</f>
        <v>240</v>
      </c>
      <c r="AN14" s="38">
        <f>Daten!J49</f>
        <v>240</v>
      </c>
      <c r="AP14" s="2" t="e" cm="1">
        <f t="array" ref="AP14">_xlfn.XLOOKUP($AR$4,$S$4:$AC$4,$S$11:$AC$15)</f>
        <v>#REF!</v>
      </c>
      <c r="AQ14" t="e" cm="1">
        <f t="array" ref="AQ14">_xlfn.XLOOKUP($AR$4,$AD$4:$AN$4,$AD$11:$AN$15)</f>
        <v>#REF!</v>
      </c>
      <c r="AR14" t="e" cm="1">
        <f t="array" ref="AR14">_xlfn.XLOOKUP($AQ$4,$AP$7:$AQ$7,$AP$14:$AQ$18)</f>
        <v>#REF!</v>
      </c>
      <c r="AS14" s="3" t="e">
        <f>_xlfn.XLOOKUP(AS8,AR14:AR18,AN17:AN21)</f>
        <v>#REF!</v>
      </c>
      <c r="AU14" s="2" t="e" cm="1">
        <f t="array" ref="AU14">_xlfn.XLOOKUP($AW$4,$S$4:$AC$4,$S$11:$AC$15)</f>
        <v>#REF!</v>
      </c>
      <c r="AV14" t="e" cm="1">
        <f t="array" ref="AV14">_xlfn.XLOOKUP($AW$4,$AD$4:$AN$4,$AD$11:$AN$15)</f>
        <v>#REF!</v>
      </c>
      <c r="AW14" t="e" cm="1">
        <f t="array" ref="AW14">_xlfn.XLOOKUP($AV$4,$AU$7:$AV$7,$AU$14:$AV$18)</f>
        <v>#REF!</v>
      </c>
      <c r="AX14" s="3" t="e">
        <f>_xlfn.XLOOKUP(AX8,AW14:AW18,AN17:AN21)</f>
        <v>#REF!</v>
      </c>
    </row>
    <row r="15" spans="2:50" x14ac:dyDescent="0.25">
      <c r="B15" s="33" t="str">
        <f>Daten!P3</f>
        <v>Wechsel</v>
      </c>
      <c r="C15" s="34" t="str">
        <f>Daten!P7</f>
        <v>Wechsel</v>
      </c>
      <c r="D15" s="34" t="str">
        <f>Daten!P10</f>
        <v>Wechsel</v>
      </c>
      <c r="E15" s="34" t="str">
        <f>Daten!P13</f>
        <v>Wechsel</v>
      </c>
      <c r="F15" s="34" t="str">
        <f>Daten!P16</f>
        <v>Wechsel</v>
      </c>
      <c r="G15" s="34" t="str">
        <f>Daten!P19</f>
        <v>Wechsel</v>
      </c>
      <c r="H15" s="34" t="str">
        <f>Daten!W3</f>
        <v>Wechsel</v>
      </c>
      <c r="I15" s="34" t="str">
        <f>Daten!W7</f>
        <v>Wechsel</v>
      </c>
      <c r="J15" s="34" t="str">
        <f>Daten!W11</f>
        <v>Wechsel</v>
      </c>
      <c r="K15" s="34" t="str">
        <f>Daten!W15</f>
        <v>Wechsel</v>
      </c>
      <c r="L15" s="34" t="str">
        <f>Daten!W19</f>
        <v>Wechsel</v>
      </c>
      <c r="M15" s="34" t="str">
        <f>Daten!W23</f>
        <v>Wechsel</v>
      </c>
      <c r="N15" s="34" t="e" cm="1">
        <f t="array" ref="N15">_xlfn.XLOOKUP(D2,B4:G4,B15:G18)</f>
        <v>#REF!</v>
      </c>
      <c r="O15" s="34" t="e" cm="1">
        <f t="array" ref="O15">_xlfn.XLOOKUP(D2,H4:M4,H15:M18)</f>
        <v>#REF!</v>
      </c>
      <c r="P15" s="34" t="e" cm="1">
        <f t="array" ref="P15">_xlfn.XLOOKUP(C2,N4:O4,N15:O18)</f>
        <v>#REF!</v>
      </c>
      <c r="Q15" s="3"/>
      <c r="S15" s="33">
        <f>Daten!C7</f>
        <v>105</v>
      </c>
      <c r="T15" s="34" t="str">
        <f>""</f>
        <v/>
      </c>
      <c r="U15" s="34" t="str">
        <f>""</f>
        <v/>
      </c>
      <c r="V15" s="34" t="str">
        <f>""</f>
        <v/>
      </c>
      <c r="W15" s="34" t="str">
        <f>""</f>
        <v/>
      </c>
      <c r="X15" s="34" t="str">
        <f>""</f>
        <v/>
      </c>
      <c r="Y15" s="34" t="str">
        <f>""</f>
        <v/>
      </c>
      <c r="Z15" s="34" t="str">
        <f>""</f>
        <v/>
      </c>
      <c r="AA15" s="34" t="str">
        <f>""</f>
        <v/>
      </c>
      <c r="AB15" s="34" t="str">
        <f>""</f>
        <v/>
      </c>
      <c r="AC15" s="34" t="str">
        <f>""</f>
        <v/>
      </c>
      <c r="AD15" s="34">
        <f>Daten!J7</f>
        <v>155</v>
      </c>
      <c r="AE15" s="34">
        <f>Daten!J12</f>
        <v>155</v>
      </c>
      <c r="AF15" s="34" t="str">
        <f>""</f>
        <v/>
      </c>
      <c r="AG15" s="34">
        <f>Daten!J21</f>
        <v>216</v>
      </c>
      <c r="AH15" s="34" t="str">
        <f>""</f>
        <v/>
      </c>
      <c r="AI15" s="34" t="str">
        <f>""</f>
        <v/>
      </c>
      <c r="AJ15" s="34" t="str">
        <f>""</f>
        <v/>
      </c>
      <c r="AK15" s="34" t="str">
        <f>""</f>
        <v/>
      </c>
      <c r="AL15" s="34" t="str">
        <f>""</f>
        <v/>
      </c>
      <c r="AM15" s="34" t="str">
        <f>""</f>
        <v/>
      </c>
      <c r="AN15" s="34" t="str">
        <f>""</f>
        <v/>
      </c>
      <c r="AP15" s="2"/>
      <c r="AS15" s="3"/>
      <c r="AU15" s="2"/>
      <c r="AX15" s="3"/>
    </row>
    <row r="16" spans="2:50" x14ac:dyDescent="0.25">
      <c r="B16" s="35" t="str">
        <f>Daten!P4</f>
        <v>Wechsel</v>
      </c>
      <c r="C16" s="36" t="str">
        <f>Daten!P8</f>
        <v>Wechsel</v>
      </c>
      <c r="D16" s="36" t="str">
        <f>Daten!P11</f>
        <v>Wechsel</v>
      </c>
      <c r="E16" s="36" t="str">
        <f>Daten!P14</f>
        <v>Wechsel</v>
      </c>
      <c r="F16" s="36" t="str">
        <f>Daten!P17</f>
        <v>Wechsel</v>
      </c>
      <c r="G16" s="36" t="str">
        <f>Daten!P20</f>
        <v>Wechsel</v>
      </c>
      <c r="H16" s="36" t="str">
        <f>Daten!W4</f>
        <v>Wechsel</v>
      </c>
      <c r="I16" s="36" t="str">
        <f>Daten!W8</f>
        <v>Wechsel</v>
      </c>
      <c r="J16" s="36" t="str">
        <f>Daten!W12</f>
        <v>Wechsel</v>
      </c>
      <c r="K16" s="36" t="str">
        <f>Daten!W16</f>
        <v>Wechsel</v>
      </c>
      <c r="L16" s="36" t="str">
        <f>Daten!W20</f>
        <v>Wechsel</v>
      </c>
      <c r="M16" s="36" t="str">
        <f>Daten!W24</f>
        <v>Wechsel</v>
      </c>
      <c r="N16" s="36"/>
      <c r="O16" s="36"/>
      <c r="P16" s="36"/>
      <c r="Q16" s="3"/>
      <c r="S16" s="75" t="s">
        <v>35</v>
      </c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P16" s="2"/>
      <c r="AS16" s="3"/>
      <c r="AU16" s="2"/>
      <c r="AX16" s="3"/>
    </row>
    <row r="17" spans="2:50" x14ac:dyDescent="0.25">
      <c r="B17" s="33" t="str">
        <f>Daten!P5</f>
        <v>Schwell</v>
      </c>
      <c r="C17" s="34" t="str">
        <f>Daten!P9</f>
        <v>Schwell</v>
      </c>
      <c r="D17" s="34" t="str">
        <f>Daten!P12</f>
        <v>Wechsel</v>
      </c>
      <c r="E17" s="34" t="str">
        <f>Daten!P15</f>
        <v>Wechsel</v>
      </c>
      <c r="F17" s="34" t="str">
        <f>Daten!P18</f>
        <v>Wechsel</v>
      </c>
      <c r="G17" s="34" t="str">
        <f>""</f>
        <v/>
      </c>
      <c r="H17" s="34" t="str">
        <f>Daten!W5</f>
        <v>Schwell</v>
      </c>
      <c r="I17" s="34" t="str">
        <f>Daten!W9</f>
        <v>Schwell</v>
      </c>
      <c r="J17" s="34" t="str">
        <f>Daten!W13</f>
        <v>Schwell</v>
      </c>
      <c r="K17" s="34" t="str">
        <f>Daten!W17</f>
        <v>Schwell</v>
      </c>
      <c r="L17" s="34" t="str">
        <f>Daten!W21</f>
        <v>Schwell</v>
      </c>
      <c r="M17" s="34" t="str">
        <f>Daten!W25</f>
        <v>Schwell</v>
      </c>
      <c r="N17" s="34"/>
      <c r="O17" s="34"/>
      <c r="P17" s="34"/>
      <c r="Q17" s="3"/>
      <c r="S17" s="33" t="str">
        <f>Daten!D3</f>
        <v>Wechsel</v>
      </c>
      <c r="T17" s="34" t="str">
        <f>Daten!D8</f>
        <v>Wechsel</v>
      </c>
      <c r="U17" s="34" t="str">
        <f>Daten!D12</f>
        <v>Wechsel</v>
      </c>
      <c r="V17" s="34" t="str">
        <f>Daten!D16</f>
        <v>Wechsel</v>
      </c>
      <c r="W17" s="34" t="str">
        <f>Daten!D20</f>
        <v>Wechsel</v>
      </c>
      <c r="X17" s="34" t="str">
        <f>Daten!D24</f>
        <v>Wechsel</v>
      </c>
      <c r="Y17" s="34" t="str">
        <f>Daten!D28</f>
        <v>Wechsel</v>
      </c>
      <c r="Z17" s="34" t="str">
        <f>Daten!D32</f>
        <v>Wechsel</v>
      </c>
      <c r="AA17" s="34" t="str">
        <f>Daten!D36</f>
        <v>Wechsel</v>
      </c>
      <c r="AB17" s="34" t="str">
        <f>Daten!D39</f>
        <v>Wechsel</v>
      </c>
      <c r="AC17" s="34" t="str">
        <f>Daten!D42</f>
        <v>Wechsel</v>
      </c>
      <c r="AD17" s="34" t="str">
        <f>Daten!K3</f>
        <v>Wechsel</v>
      </c>
      <c r="AE17" s="34" t="str">
        <f>Daten!K8</f>
        <v>Wechsel</v>
      </c>
      <c r="AF17" s="34" t="str">
        <f>Daten!K13</f>
        <v>Wechsel</v>
      </c>
      <c r="AG17" s="34" t="str">
        <f>Daten!K17</f>
        <v>Wechsel</v>
      </c>
      <c r="AH17" s="34" t="str">
        <f>Daten!K22</f>
        <v>Wechsel</v>
      </c>
      <c r="AI17" s="34" t="str">
        <f>Daten!K26</f>
        <v>Wechsel</v>
      </c>
      <c r="AJ17" s="34" t="str">
        <f>Daten!K30</f>
        <v>Wechsel</v>
      </c>
      <c r="AK17" s="34" t="str">
        <f>Daten!K34</f>
        <v>Wechsel</v>
      </c>
      <c r="AL17" s="34" t="str">
        <f>Daten!K38</f>
        <v>Wechsel</v>
      </c>
      <c r="AM17" s="34" t="str">
        <f>Daten!K42</f>
        <v>Wechsel</v>
      </c>
      <c r="AN17" s="34" t="str">
        <f>Daten!K46</f>
        <v>Wechsel</v>
      </c>
      <c r="AP17" s="2"/>
      <c r="AS17" s="3"/>
      <c r="AU17" s="2"/>
      <c r="AX17" s="3"/>
    </row>
    <row r="18" spans="2:50" ht="15.75" thickBot="1" x14ac:dyDescent="0.3">
      <c r="B18" s="37" t="str">
        <f>Daten!P6</f>
        <v>Schwell</v>
      </c>
      <c r="C18" s="38" t="str">
        <f>""</f>
        <v/>
      </c>
      <c r="D18" s="38" t="str">
        <f>""</f>
        <v/>
      </c>
      <c r="E18" s="38" t="str">
        <f>""</f>
        <v/>
      </c>
      <c r="F18" s="38" t="str">
        <f>""</f>
        <v/>
      </c>
      <c r="G18" s="38" t="str">
        <f>""</f>
        <v/>
      </c>
      <c r="H18" s="38" t="str">
        <f>Daten!W6</f>
        <v>Schwell</v>
      </c>
      <c r="I18" s="38" t="str">
        <f>Daten!W10</f>
        <v>Schwell</v>
      </c>
      <c r="J18" s="38" t="str">
        <f>Daten!W14</f>
        <v>Schwell</v>
      </c>
      <c r="K18" s="38" t="str">
        <f>Daten!W18</f>
        <v>Schwell</v>
      </c>
      <c r="L18" s="38" t="str">
        <f>Daten!W22</f>
        <v>Schwell</v>
      </c>
      <c r="M18" s="38" t="str">
        <f>Daten!W26</f>
        <v>Schwell</v>
      </c>
      <c r="N18" s="38"/>
      <c r="O18" s="38"/>
      <c r="P18" s="38"/>
      <c r="Q18" s="3"/>
      <c r="S18" s="35" t="str">
        <f>Daten!D4</f>
        <v>Wechsel</v>
      </c>
      <c r="T18" s="36" t="str">
        <f>Daten!D9</f>
        <v>Wechsel</v>
      </c>
      <c r="U18" s="36" t="str">
        <f>Daten!D13</f>
        <v>Wechsel</v>
      </c>
      <c r="V18" s="36" t="str">
        <f>Daten!D17</f>
        <v>Wechsel</v>
      </c>
      <c r="W18" s="36" t="str">
        <f>Daten!D21</f>
        <v>Wechsel</v>
      </c>
      <c r="X18" s="36" t="str">
        <f>Daten!D25</f>
        <v>Wechsel</v>
      </c>
      <c r="Y18" s="36" t="str">
        <f>Daten!D29</f>
        <v>Wechsel</v>
      </c>
      <c r="Z18" s="36" t="str">
        <f>Daten!D33</f>
        <v>Wechsel</v>
      </c>
      <c r="AA18" s="36" t="str">
        <f>Daten!D37</f>
        <v>Wechsel</v>
      </c>
      <c r="AB18" s="36" t="str">
        <f>Daten!D40</f>
        <v>Wechsel</v>
      </c>
      <c r="AC18" s="36" t="str">
        <f>Daten!D43</f>
        <v>Wechsel</v>
      </c>
      <c r="AD18" s="36" t="str">
        <f>Daten!K4</f>
        <v>Wechsel</v>
      </c>
      <c r="AE18" s="36" t="str">
        <f>Daten!K9</f>
        <v>Wechsel</v>
      </c>
      <c r="AF18" s="36" t="str">
        <f>Daten!K14</f>
        <v>Wechsel</v>
      </c>
      <c r="AG18" s="36" t="str">
        <f>Daten!K18</f>
        <v>Wechsel</v>
      </c>
      <c r="AH18" s="36" t="str">
        <f>Daten!K23</f>
        <v>Wechsel</v>
      </c>
      <c r="AI18" s="36" t="str">
        <f>Daten!K27</f>
        <v>Wechsel</v>
      </c>
      <c r="AJ18" s="36" t="str">
        <f>Daten!K31</f>
        <v>Wechsel</v>
      </c>
      <c r="AK18" s="36" t="str">
        <f>Daten!K35</f>
        <v>Wechsel</v>
      </c>
      <c r="AL18" s="36" t="str">
        <f>Daten!K39</f>
        <v>Wechsel</v>
      </c>
      <c r="AM18" s="36" t="str">
        <f>Daten!K43</f>
        <v>Wechsel</v>
      </c>
      <c r="AN18" s="36" t="str">
        <f>Daten!K47</f>
        <v>Wechsel</v>
      </c>
      <c r="AP18" s="4"/>
      <c r="AQ18" s="5"/>
      <c r="AR18" s="5"/>
      <c r="AS18" s="12"/>
      <c r="AU18" s="4"/>
      <c r="AV18" s="5"/>
      <c r="AW18" s="5"/>
      <c r="AX18" s="12"/>
    </row>
    <row r="19" spans="2:50" ht="15.75" thickBot="1" x14ac:dyDescent="0.3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2"/>
      <c r="S19" s="33" t="str">
        <f>Daten!D5</f>
        <v>Schwell</v>
      </c>
      <c r="T19" s="34" t="str">
        <f>Daten!D10</f>
        <v>Schwell</v>
      </c>
      <c r="U19" s="34" t="str">
        <f>Daten!D14</f>
        <v>Schwell</v>
      </c>
      <c r="V19" s="34" t="str">
        <f>Daten!D18</f>
        <v>Schwell</v>
      </c>
      <c r="W19" s="34" t="str">
        <f>Daten!D22</f>
        <v>Schwell</v>
      </c>
      <c r="X19" s="34" t="str">
        <f>Daten!D26</f>
        <v>Schwell</v>
      </c>
      <c r="Y19" s="34" t="str">
        <f>Daten!D30</f>
        <v>Schwell</v>
      </c>
      <c r="Z19" s="34" t="str">
        <f>Daten!D34</f>
        <v>Schwell</v>
      </c>
      <c r="AA19" s="34" t="str">
        <f>Daten!D38</f>
        <v>Schwell</v>
      </c>
      <c r="AB19" s="34" t="str">
        <f>Daten!D41</f>
        <v>Wechsel</v>
      </c>
      <c r="AC19" s="34" t="str">
        <f>Daten!D44</f>
        <v>Wechsel</v>
      </c>
      <c r="AD19" s="34" t="str">
        <f>Daten!K5</f>
        <v>Schwell</v>
      </c>
      <c r="AE19" s="34" t="str">
        <f>Daten!K10</f>
        <v>Schwell</v>
      </c>
      <c r="AF19" s="34" t="str">
        <f>Daten!K15</f>
        <v>Schwell</v>
      </c>
      <c r="AG19" s="34" t="str">
        <f>Daten!K19</f>
        <v>Schwell</v>
      </c>
      <c r="AH19" s="34" t="str">
        <f>Daten!K24</f>
        <v>Schwell</v>
      </c>
      <c r="AI19" s="34" t="str">
        <f>Daten!K28</f>
        <v>Schwell</v>
      </c>
      <c r="AJ19" s="34" t="str">
        <f>Daten!K32</f>
        <v>Schwell</v>
      </c>
      <c r="AK19" s="34" t="str">
        <f>Daten!K36</f>
        <v>Schwell</v>
      </c>
      <c r="AL19" s="34" t="str">
        <f>Daten!K40</f>
        <v>Schwell</v>
      </c>
      <c r="AM19" s="34" t="str">
        <f>Daten!K44</f>
        <v>Schwell</v>
      </c>
      <c r="AN19" s="34" t="str">
        <f>Daten!K48</f>
        <v>Schwell</v>
      </c>
    </row>
    <row r="20" spans="2:50" ht="15.75" thickBot="1" x14ac:dyDescent="0.3">
      <c r="S20" s="37" t="str">
        <f>Daten!D6</f>
        <v>Schwell</v>
      </c>
      <c r="T20" s="38" t="str">
        <f>Daten!D11</f>
        <v>Schwell</v>
      </c>
      <c r="U20" s="38" t="str">
        <f>Daten!D15</f>
        <v>Schwell</v>
      </c>
      <c r="V20" s="38" t="str">
        <f>Daten!D19</f>
        <v>Schwell</v>
      </c>
      <c r="W20" s="38" t="str">
        <f>Daten!D23</f>
        <v>Schwell</v>
      </c>
      <c r="X20" s="38" t="str">
        <f>Daten!D27</f>
        <v>Schwell</v>
      </c>
      <c r="Y20" s="38" t="str">
        <f>Daten!D31</f>
        <v>Schwell</v>
      </c>
      <c r="Z20" s="38" t="str">
        <f>Daten!D35</f>
        <v>Schwell</v>
      </c>
      <c r="AA20" s="38" t="str">
        <f>""</f>
        <v/>
      </c>
      <c r="AB20" s="38" t="str">
        <f>""</f>
        <v/>
      </c>
      <c r="AC20" s="38" t="str">
        <f>""</f>
        <v/>
      </c>
      <c r="AD20" s="38" t="str">
        <f>Daten!K6</f>
        <v>Schwell</v>
      </c>
      <c r="AE20" s="38" t="str">
        <f>Daten!K11</f>
        <v>Schwell</v>
      </c>
      <c r="AF20" s="38" t="str">
        <f>Daten!K16</f>
        <v>Schwell</v>
      </c>
      <c r="AG20" s="38" t="str">
        <f>Daten!K20</f>
        <v>Schwell</v>
      </c>
      <c r="AH20" s="38" t="str">
        <f>Daten!K25</f>
        <v>Schwell</v>
      </c>
      <c r="AI20" s="38" t="str">
        <f>Daten!K29</f>
        <v>Schwell</v>
      </c>
      <c r="AJ20" s="38" t="str">
        <f>Daten!K33</f>
        <v>Schwell</v>
      </c>
      <c r="AK20" s="38" t="str">
        <f>Daten!K37</f>
        <v>Schwell</v>
      </c>
      <c r="AL20" s="38" t="str">
        <f>Daten!K41</f>
        <v>Schwell</v>
      </c>
      <c r="AM20" s="38" t="str">
        <f>Daten!K45</f>
        <v>Schwell</v>
      </c>
      <c r="AN20" s="38" t="str">
        <f>Daten!K49</f>
        <v>Schwell</v>
      </c>
    </row>
    <row r="21" spans="2:50" ht="15.75" thickBot="1" x14ac:dyDescent="0.3">
      <c r="B21" s="39"/>
      <c r="C21" s="39"/>
      <c r="D21" s="39"/>
      <c r="E21" s="39"/>
      <c r="F21" s="39"/>
      <c r="G21" s="39"/>
      <c r="H21" s="39"/>
      <c r="J21" s="40"/>
      <c r="K21" s="41"/>
      <c r="L21" s="41"/>
      <c r="M21" s="41"/>
      <c r="N21" s="41"/>
      <c r="O21" s="42"/>
      <c r="S21" s="33" t="str">
        <f>Daten!D7</f>
        <v>Schwell</v>
      </c>
      <c r="T21" s="34" t="str">
        <f>""</f>
        <v/>
      </c>
      <c r="U21" s="34" t="str">
        <f>""</f>
        <v/>
      </c>
      <c r="V21" s="34" t="str">
        <f>""</f>
        <v/>
      </c>
      <c r="W21" s="34" t="str">
        <f>""</f>
        <v/>
      </c>
      <c r="X21" s="34" t="str">
        <f>""</f>
        <v/>
      </c>
      <c r="Y21" s="34" t="str">
        <f>""</f>
        <v/>
      </c>
      <c r="Z21" s="34" t="str">
        <f>""</f>
        <v/>
      </c>
      <c r="AA21" s="34" t="str">
        <f>""</f>
        <v/>
      </c>
      <c r="AB21" s="34" t="str">
        <f>""</f>
        <v/>
      </c>
      <c r="AC21" s="34" t="str">
        <f>""</f>
        <v/>
      </c>
      <c r="AD21" s="34" t="str">
        <f>Daten!K7</f>
        <v>Schwell</v>
      </c>
      <c r="AE21" s="34" t="str">
        <f>Daten!K12</f>
        <v>Schwell</v>
      </c>
      <c r="AF21" s="34" t="str">
        <f>""</f>
        <v/>
      </c>
      <c r="AG21" s="34" t="str">
        <f>Daten!K21</f>
        <v>Schwell</v>
      </c>
      <c r="AH21" s="34" t="str">
        <f>""</f>
        <v/>
      </c>
      <c r="AI21" s="34" t="str">
        <f>""</f>
        <v/>
      </c>
      <c r="AJ21" s="34" t="str">
        <f>""</f>
        <v/>
      </c>
      <c r="AK21" s="34" t="str">
        <f>""</f>
        <v/>
      </c>
      <c r="AL21" s="34" t="str">
        <f>""</f>
        <v/>
      </c>
      <c r="AM21" s="34" t="str">
        <f>""</f>
        <v/>
      </c>
      <c r="AN21" s="34" t="str">
        <f>""</f>
        <v/>
      </c>
    </row>
    <row r="22" spans="2:50" ht="15.75" thickBot="1" x14ac:dyDescent="0.3">
      <c r="B22" s="9" t="s">
        <v>57</v>
      </c>
      <c r="C22" s="10"/>
      <c r="D22" s="11"/>
      <c r="E22" s="9" t="s">
        <v>56</v>
      </c>
      <c r="F22" s="10"/>
      <c r="G22" s="10"/>
      <c r="H22" s="11"/>
      <c r="J22" s="9" t="s">
        <v>57</v>
      </c>
      <c r="K22" s="10"/>
      <c r="L22" s="11"/>
      <c r="M22" t="s">
        <v>58</v>
      </c>
      <c r="O22" s="3"/>
      <c r="S22" s="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12"/>
    </row>
    <row r="23" spans="2:50" x14ac:dyDescent="0.25">
      <c r="B23" s="2" t="s">
        <v>59</v>
      </c>
      <c r="D23" s="43" t="e">
        <f>#REF!</f>
        <v>#REF!</v>
      </c>
      <c r="E23" s="2"/>
      <c r="H23" s="3"/>
      <c r="J23" s="2" t="s">
        <v>59</v>
      </c>
      <c r="L23" s="43" t="e">
        <f>#REF!</f>
        <v>#REF!</v>
      </c>
      <c r="M23" s="1" t="s">
        <v>14</v>
      </c>
      <c r="N23" s="77" t="e">
        <f>(#REF!*#REF!)/1000</f>
        <v>#REF!</v>
      </c>
      <c r="O23" s="78"/>
    </row>
    <row r="24" spans="2:50" ht="15.75" thickBot="1" x14ac:dyDescent="0.3">
      <c r="B24" s="2" t="s">
        <v>60</v>
      </c>
      <c r="D24" s="8" t="e">
        <f>IF(D23&lt;=10,"1",(10/D23)^0.1)</f>
        <v>#REF!</v>
      </c>
      <c r="E24" s="21" t="s">
        <v>11</v>
      </c>
      <c r="F24" s="70" t="e">
        <f>#REF!/(#REF!*#REF!*#REF!)</f>
        <v>#REF!</v>
      </c>
      <c r="G24" s="71"/>
      <c r="H24" s="3"/>
      <c r="J24" s="2" t="s">
        <v>60</v>
      </c>
      <c r="L24" s="8" t="e">
        <f>IF(L23&lt;=10,"1",(10/L23)^0.1)</f>
        <v>#REF!</v>
      </c>
      <c r="M24" s="1" t="s">
        <v>25</v>
      </c>
      <c r="N24" s="79" t="e">
        <f>IF(L33&gt;0, IF(L31&gt;0, "Fehler", L33), IF(L31&gt;0, L31, ""))</f>
        <v>#REF!</v>
      </c>
      <c r="O24" s="80"/>
    </row>
    <row r="25" spans="2:50" ht="15.75" thickBot="1" x14ac:dyDescent="0.3">
      <c r="B25" s="2"/>
      <c r="D25" s="7"/>
      <c r="E25" s="21" t="s">
        <v>13</v>
      </c>
      <c r="F25" s="70" t="e">
        <f>Q5*D24</f>
        <v>#REF!</v>
      </c>
      <c r="G25" s="71"/>
      <c r="H25" s="3"/>
      <c r="J25" s="2"/>
      <c r="L25" s="7"/>
      <c r="M25" s="22" t="s">
        <v>15</v>
      </c>
      <c r="N25" s="79" t="e">
        <f>IF(K33&gt;0, IF(K31&gt;0, "Fehler", K33), IF(K31&gt;0, K31, ""))</f>
        <v>#REF!</v>
      </c>
      <c r="O25" s="80"/>
    </row>
    <row r="26" spans="2:50" x14ac:dyDescent="0.25">
      <c r="B26" s="2" t="s">
        <v>61</v>
      </c>
      <c r="D26" s="7"/>
      <c r="E26" s="2"/>
      <c r="H26" s="3"/>
      <c r="J26" s="2" t="s">
        <v>61</v>
      </c>
      <c r="L26" s="7"/>
      <c r="M26" s="1" t="s">
        <v>26</v>
      </c>
      <c r="N26" s="70" t="e">
        <f>N23/N24</f>
        <v>#REF!</v>
      </c>
      <c r="O26" s="72"/>
    </row>
    <row r="27" spans="2:50" x14ac:dyDescent="0.25">
      <c r="B27" s="2" t="s">
        <v>59</v>
      </c>
      <c r="D27" s="43" t="e">
        <f>#REF!</f>
        <v>#REF!</v>
      </c>
      <c r="E27" s="21" t="s">
        <v>22</v>
      </c>
      <c r="F27" s="70" t="e">
        <f>#REF!/(#REF!*#REF!)</f>
        <v>#REF!</v>
      </c>
      <c r="G27" s="71"/>
      <c r="H27" s="3"/>
      <c r="J27" s="2" t="s">
        <v>59</v>
      </c>
      <c r="L27" s="43" t="e">
        <f>#REF!</f>
        <v>#REF!</v>
      </c>
      <c r="M27" s="1" t="s">
        <v>27</v>
      </c>
      <c r="N27" s="70">
        <f>IFERROR(#REF!/((2*#REF!*#REF!)),0)</f>
        <v>0</v>
      </c>
      <c r="O27" s="72"/>
    </row>
    <row r="28" spans="2:50" x14ac:dyDescent="0.25">
      <c r="B28" s="2" t="s">
        <v>60</v>
      </c>
      <c r="D28" s="8" t="e">
        <f>IF(D27&lt;=10,"1",(10/D27)^0.1)</f>
        <v>#REF!</v>
      </c>
      <c r="E28" s="21" t="s">
        <v>12</v>
      </c>
      <c r="F28" s="70" t="e">
        <f>Settings!AS8*Settings!D28</f>
        <v>#REF!</v>
      </c>
      <c r="G28" s="71"/>
      <c r="H28" s="3"/>
      <c r="J28" s="2" t="s">
        <v>60</v>
      </c>
      <c r="L28" s="8" t="e">
        <f>IF(L27&lt;=10,"1",(10/L27)^0.1)</f>
        <v>#REF!</v>
      </c>
      <c r="M28" s="1" t="s">
        <v>23</v>
      </c>
      <c r="N28" s="70" t="e">
        <f>SQRT(N26^2+3*K35^2)</f>
        <v>#REF!</v>
      </c>
      <c r="O28" s="72"/>
    </row>
    <row r="29" spans="2:50" ht="15.75" thickBot="1" x14ac:dyDescent="0.3">
      <c r="B29" s="4"/>
      <c r="C29" s="5"/>
      <c r="D29" s="12"/>
      <c r="E29" s="4"/>
      <c r="F29" s="5"/>
      <c r="G29" s="5"/>
      <c r="H29" s="12"/>
      <c r="J29" s="4"/>
      <c r="K29" s="5"/>
      <c r="L29" s="12"/>
      <c r="M29" s="1" t="s">
        <v>24</v>
      </c>
      <c r="N29" s="70" t="e">
        <f>AX8*L28</f>
        <v>#REF!</v>
      </c>
      <c r="O29" s="72"/>
    </row>
    <row r="30" spans="2:50" ht="15.75" thickBot="1" x14ac:dyDescent="0.3">
      <c r="J30" s="83" t="s">
        <v>62</v>
      </c>
      <c r="K30" s="44" t="s">
        <v>63</v>
      </c>
      <c r="L30" s="18" t="s">
        <v>64</v>
      </c>
      <c r="M30" s="1" t="s">
        <v>16</v>
      </c>
      <c r="N30" s="70" t="e">
        <f>N23/N25</f>
        <v>#REF!</v>
      </c>
      <c r="O30" s="72"/>
    </row>
    <row r="31" spans="2:50" ht="15.75" thickBot="1" x14ac:dyDescent="0.3">
      <c r="J31" s="84"/>
      <c r="K31" s="45" t="e">
        <f>((#REF!+#REF!)*((#REF!+#REF!)^3)-(#REF!-#REF!)*((#REF!-#REF!)^3))/(6*(#REF!+#REF!))/1000</f>
        <v>#REF!</v>
      </c>
      <c r="L31" s="46" t="e">
        <f>(#REF!*(#REF!^2)/6)/1000</f>
        <v>#REF!</v>
      </c>
      <c r="M31" s="1" t="s">
        <v>17</v>
      </c>
      <c r="N31" s="70" t="str">
        <f>IF(K37&gt;0, IF(K35&gt;0, "Fehler", K37), IF(K35&gt;0, K35, ""))</f>
        <v/>
      </c>
      <c r="O31" s="72"/>
    </row>
    <row r="32" spans="2:50" ht="15.75" thickBot="1" x14ac:dyDescent="0.3">
      <c r="J32" s="83" t="s">
        <v>65</v>
      </c>
      <c r="K32" s="44" t="s">
        <v>63</v>
      </c>
      <c r="L32" s="18" t="s">
        <v>64</v>
      </c>
      <c r="M32" s="1" t="s">
        <v>66</v>
      </c>
      <c r="N32" s="70" t="e">
        <f>0.5*(N30+SQRT(N30^2+4*N27^2))</f>
        <v>#REF!</v>
      </c>
      <c r="O32" s="72"/>
    </row>
    <row r="33" spans="10:18" ht="15.75" thickBot="1" x14ac:dyDescent="0.3">
      <c r="J33" s="84"/>
      <c r="K33" s="45" t="e">
        <f>(((#REF!+#REF!)^4-(#REF!-#REF!)^4)*(PI()/32))/(#REF!+#REF!)/1000</f>
        <v>#REF!</v>
      </c>
      <c r="L33" s="47" t="e">
        <f>PI()*#REF!*#REF!</f>
        <v>#REF!</v>
      </c>
      <c r="M33" s="1" t="s">
        <v>12</v>
      </c>
      <c r="N33" s="70" t="e">
        <f>AX8*L24</f>
        <v>#REF!</v>
      </c>
      <c r="O33" s="72"/>
    </row>
    <row r="34" spans="10:18" x14ac:dyDescent="0.25">
      <c r="J34" s="83" t="s">
        <v>62</v>
      </c>
      <c r="K34" s="1" t="s">
        <v>67</v>
      </c>
      <c r="L34" s="1" t="s">
        <v>18</v>
      </c>
      <c r="M34" s="1" t="s">
        <v>18</v>
      </c>
      <c r="N34" s="85" t="str">
        <f>IF(L37&gt;0, IF(L35&gt;0, "Fehler", L37), IF(L35&gt;0, L35, ""))</f>
        <v/>
      </c>
      <c r="O34" s="86"/>
    </row>
    <row r="35" spans="10:18" ht="15.75" thickBot="1" x14ac:dyDescent="0.3">
      <c r="J35" s="84"/>
      <c r="K35" s="48">
        <f>IFERROR(#REF!/(#REF!*#REF!),0)</f>
        <v>0</v>
      </c>
      <c r="L35" s="49">
        <f>IFERROR(#REF!/(2*#REF!*(#REF!+#REF!)),0)</f>
        <v>0</v>
      </c>
      <c r="M35" s="1" t="s">
        <v>68</v>
      </c>
      <c r="N35" s="85" t="e">
        <f>N34+N30</f>
        <v>#VALUE!</v>
      </c>
      <c r="O35" s="86"/>
    </row>
    <row r="36" spans="10:18" x14ac:dyDescent="0.25">
      <c r="J36" s="83" t="s">
        <v>65</v>
      </c>
      <c r="K36" s="1" t="s">
        <v>67</v>
      </c>
      <c r="L36" s="1" t="s">
        <v>18</v>
      </c>
      <c r="O36" s="3"/>
    </row>
    <row r="37" spans="10:18" ht="15.75" thickBot="1" x14ac:dyDescent="0.3">
      <c r="J37" s="84"/>
      <c r="K37" s="48">
        <f>IFERROR(#REF!/(PI()*#REF!),0)</f>
        <v>0</v>
      </c>
      <c r="L37" s="49">
        <f>IFERROR(#REF!/(PI()*#REF!*#REF!),0)</f>
        <v>0</v>
      </c>
      <c r="O37" s="3"/>
      <c r="R37">
        <f>6235/(3*(2*20+2*50))</f>
        <v>14.845238095238095</v>
      </c>
    </row>
    <row r="38" spans="10:18" ht="15.75" thickBot="1" x14ac:dyDescent="0.3">
      <c r="J38" s="2"/>
      <c r="O38" s="3"/>
    </row>
    <row r="39" spans="10:18" ht="15.75" thickBot="1" x14ac:dyDescent="0.3">
      <c r="J39" s="20" t="s">
        <v>18</v>
      </c>
      <c r="K39" t="str">
        <f>IF(N27=0, M35, M32)</f>
        <v>σ⊥=</v>
      </c>
      <c r="L39" s="81" t="e">
        <f>IF(J40="Ja",0.5*(N30+N34+SQRT((N30+N34)^2+4*N27^2)),N32)</f>
        <v>#REF!</v>
      </c>
      <c r="M39" s="82"/>
      <c r="O39" s="3"/>
    </row>
    <row r="40" spans="10:18" ht="15.75" thickBot="1" x14ac:dyDescent="0.3">
      <c r="J40" s="22" t="e">
        <f>#REF!</f>
        <v>#REF!</v>
      </c>
      <c r="L40" s="81" t="e">
        <f>IF(J40="Ja",0.5*(N30+N34+SQRT((N30+N34)^2+4*N27^2)),N32)</f>
        <v>#REF!</v>
      </c>
      <c r="M40" s="82"/>
      <c r="N40" s="5"/>
      <c r="O40" s="12"/>
      <c r="R40" t="e">
        <f>IF(AND(N27=0, J40="Nein"), L40, IF(N27=0, N34+N30, N32))</f>
        <v>#REF!</v>
      </c>
    </row>
  </sheetData>
  <sheetProtection sheet="1" objects="1" scenarios="1"/>
  <mergeCells count="33">
    <mergeCell ref="L40:M40"/>
    <mergeCell ref="N29:O29"/>
    <mergeCell ref="J30:J31"/>
    <mergeCell ref="N30:O30"/>
    <mergeCell ref="N31:O31"/>
    <mergeCell ref="J32:J33"/>
    <mergeCell ref="N32:O32"/>
    <mergeCell ref="N33:O33"/>
    <mergeCell ref="J34:J35"/>
    <mergeCell ref="N34:O34"/>
    <mergeCell ref="N35:O35"/>
    <mergeCell ref="J36:J37"/>
    <mergeCell ref="L39:M39"/>
    <mergeCell ref="F28:G28"/>
    <mergeCell ref="N28:O28"/>
    <mergeCell ref="B9:P9"/>
    <mergeCell ref="S10:AN10"/>
    <mergeCell ref="B14:P14"/>
    <mergeCell ref="S16:AN16"/>
    <mergeCell ref="N23:O23"/>
    <mergeCell ref="F24:G24"/>
    <mergeCell ref="N24:O24"/>
    <mergeCell ref="F25:G25"/>
    <mergeCell ref="N25:O25"/>
    <mergeCell ref="N26:O26"/>
    <mergeCell ref="F27:G27"/>
    <mergeCell ref="N27:O27"/>
    <mergeCell ref="AU5:AX5"/>
    <mergeCell ref="B3:G3"/>
    <mergeCell ref="H3:M3"/>
    <mergeCell ref="S3:AC3"/>
    <mergeCell ref="AD3:AN3"/>
    <mergeCell ref="AP5:AS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Stift</vt:lpstr>
      <vt:lpstr>Daten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P.</dc:creator>
  <cp:lastModifiedBy>Bernhard Fleischer</cp:lastModifiedBy>
  <cp:lastPrinted>2024-01-14T12:38:37Z</cp:lastPrinted>
  <dcterms:created xsi:type="dcterms:W3CDTF">2015-06-05T18:19:34Z</dcterms:created>
  <dcterms:modified xsi:type="dcterms:W3CDTF">2024-08-08T10:55:56Z</dcterms:modified>
</cp:coreProperties>
</file>